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  <sheet name="грудень" sheetId="4" r:id="rId4"/>
    <sheet name="лютий (частково бюджет розв)" sheetId="5" r:id="rId5"/>
    <sheet name="лютий (весь бюдж розв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<sst xmlns="http://schemas.openxmlformats.org/spreadsheetml/2006/main" count="858" uniqueCount="187">
  <si>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</si>
  <si>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</si>
  <si>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</si>
  <si>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</si>
  <si>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</si>
  <si>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</si>
  <si>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</si>
  <si>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</si>
  <si>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</si>
  <si>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</si>
  <si>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</si>
  <si>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</si>
  <si>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</si>
  <si>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</si>
  <si>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</si>
  <si>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</si>
  <si>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</si>
  <si>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</si>
  <si>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</si>
  <si>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</si>
  <si>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</si>
  <si>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</si>
  <si>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</si>
  <si>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</si>
  <si>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</si>
  <si>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</si>
  <si>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</si>
  <si>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</si>
  <si>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</si>
  <si>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</si>
  <si>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</si>
  <si>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</si>
  <si>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</si>
  <si>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</si>
  <si>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</si>
  <si>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</si>
  <si>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</si>
  <si>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</si>
  <si>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</si>
  <si>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</si>
  <si>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</si>
  <si>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</si>
  <si>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</si>
  <si>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</si>
  <si>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</si>
  <si>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</si>
  <si>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</si>
  <si>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</si>
  <si>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</si>
  <si>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</si>
  <si>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</si>
  <si>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</si>
  <si>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</si>
  <si>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</si>
  <si>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</si>
  <si>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</si>
  <si>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</si>
  <si>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</si>
  <si>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</si>
  <si>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</si>
  <si>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</si>
  <si>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</si>
  <si>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</si>
  <si>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</si>
  <si>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</si>
  <si>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</si>
  <si>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</si>
  <si>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</si>
  <si>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</si>
  <si>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</si>
  <si>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</si>
  <si>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</si>
  <si>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</si>
  <si>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</si>
  <si>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</si>
  <si>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</si>
  <si>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</si>
  <si>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</si>
  <si>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</si>
  <si>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</si>
  <si>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</si>
  <si>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</si>
  <si>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</si>
  <si>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</si>
  <si>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</si>
  <si>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</si>
  <si>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</si>
  <si>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</si>
  <si>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</si>
  <si>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</si>
  <si>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</si>
  <si>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</si>
  <si>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</si>
  <si>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</si>
  <si>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</si>
  <si>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</si>
  <si>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</si>
  <si>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</si>
  <si>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</si>
  <si>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</si>
  <si>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</si>
  <si>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</si>
  <si>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</si>
  <si>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</si>
  <si>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</si>
  <si>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</si>
  <si>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</si>
  <si>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</si>
  <si>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</si>
  <si>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</si>
  <si>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</si>
  <si>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</si>
  <si>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</si>
  <si>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</si>
  <si>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</si>
  <si>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</si>
  <si>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</si>
  <si>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</si>
  <si>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</si>
  <si>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</si>
  <si>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</si>
  <si>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</si>
  <si>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</si>
  <si>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</si>
  <si>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</si>
  <si>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</si>
  <si>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</si>
  <si>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</si>
  <si>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</si>
  <si>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</si>
  <si>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</si>
  <si>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</si>
  <si>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</si>
  <si>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</si>
  <si>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</si>
  <si>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</si>
  <si>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</si>
  <si>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</si>
  <si>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</si>
  <si>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</si>
  <si>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</si>
  <si>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</si>
  <si>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</si>
  <si>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</si>
  <si>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</si>
  <si>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</si>
  <si>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</si>
  <si>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</si>
  <si>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</si>
  <si>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</si>
  <si>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</si>
  <si>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</si>
  <si>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</si>
  <si>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</si>
  <si>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</si>
  <si>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</si>
  <si>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</si>
  <si>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</si>
  <si>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</si>
  <si>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</si>
  <si>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</si>
  <si>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</si>
  <si>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</si>
  <si>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</si>
  <si>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</si>
  <si>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</si>
  <si>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</si>
  <si>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виплату </t>
    </r>
    <r>
      <rPr>
        <b/>
        <sz val="10"/>
        <rFont val="Arial Cyr"/>
        <family val="0"/>
      </rPr>
      <t>допомоги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</si>
  <si>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</si>
  <si>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 та рідкого пічного побутового палива </t>
    </r>
    <r>
      <rPr>
        <sz val="10"/>
        <rFont val="Arial Cyr"/>
        <family val="0"/>
      </rPr>
      <t>і скрапленого газу 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</si>
  <si>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</si>
  <si>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</si>
  <si>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Субвенція з державного бюджету місцевим бюджетам на виплату державної соціальної допомоги </t>
    </r>
    <r>
      <rPr>
        <b/>
        <sz val="10"/>
        <rFont val="Arial Cyr"/>
        <family val="0"/>
      </rPr>
      <t>на 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</si>
  <si>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</si>
  <si>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</si>
  <si>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</si>
  <si>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</si>
  <si>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</si>
  <si>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</si>
  <si>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</si>
  <si>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</si>
  <si>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</si>
  <si>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15.03.17 </t>
    </r>
    <r>
      <rPr>
        <b/>
        <sz val="10"/>
        <rFont val="Times New Roman"/>
        <family val="1"/>
      </rPr>
      <t>включно</t>
    </r>
  </si>
  <si>
    <t>АКЦИЗНИЙ ПОДАТОК, в т.ч.</t>
  </si>
  <si>
    <r>
      <t>Акцизний податок (</t>
    </r>
    <r>
      <rPr>
        <b/>
        <i/>
        <sz val="12"/>
        <rFont val="Times New Roman"/>
        <family val="1"/>
      </rPr>
      <t>паливо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</si>
  <si>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паливо ввезене</t>
    </r>
    <r>
      <rPr>
        <i/>
        <sz val="12"/>
        <rFont val="Times New Roman"/>
        <family val="1"/>
      </rPr>
      <t>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</si>
  <si>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>ї суб`єктами господарювання роздрібної торгівлі підакцизних товарів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</si>
</sst>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6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5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8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0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4" applyFont="1" applyProtection="1">
      <alignment/>
      <protection/>
    </xf>
    <xf numFmtId="192" fontId="81" fillId="39" borderId="10" xfId="0" applyNumberFormat="1" applyFont="1" applyFill="1" applyBorder="1" applyAlignment="1">
      <alignment/>
    </xf>
    <xf numFmtId="191" fontId="3" fillId="0" borderId="0" xfId="54" applyNumberFormat="1" applyFont="1" applyProtection="1">
      <alignment/>
      <protection/>
    </xf>
    <xf numFmtId="182" fontId="81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4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182" fontId="3" fillId="36" borderId="0" xfId="54" applyNumberFormat="1" applyFont="1" applyFill="1" applyAlignment="1" applyProtection="1">
      <alignment horizontal="center"/>
      <protection/>
    </xf>
    <xf numFmtId="182" fontId="3" fillId="36" borderId="10" xfId="0" applyNumberFormat="1" applyFont="1" applyFill="1" applyBorder="1" applyAlignment="1" applyProtection="1">
      <alignment horizontal="right"/>
      <protection/>
    </xf>
    <xf numFmtId="182" fontId="7" fillId="36" borderId="10" xfId="0" applyNumberFormat="1" applyFont="1" applyFill="1" applyBorder="1" applyAlignment="1" applyProtection="1">
      <alignment horizontal="right"/>
      <protection/>
    </xf>
    <xf numFmtId="182" fontId="6" fillId="36" borderId="10" xfId="0" applyNumberFormat="1" applyFont="1" applyFill="1" applyBorder="1" applyAlignment="1" applyProtection="1">
      <alignment horizontal="right"/>
      <protection/>
    </xf>
    <xf numFmtId="182" fontId="22" fillId="36" borderId="10" xfId="0" applyNumberFormat="1" applyFont="1" applyFill="1" applyBorder="1" applyAlignment="1" applyProtection="1">
      <alignment horizontal="right"/>
      <protection/>
    </xf>
    <xf numFmtId="182" fontId="7" fillId="36" borderId="0" xfId="54" applyNumberFormat="1" applyFont="1" applyFill="1" applyProtection="1">
      <alignment/>
      <protection/>
    </xf>
    <xf numFmtId="182" fontId="7" fillId="36" borderId="0" xfId="54" applyNumberFormat="1" applyFont="1" applyFill="1" applyBorder="1" applyProtection="1">
      <alignment/>
      <protection/>
    </xf>
    <xf numFmtId="182" fontId="7" fillId="36" borderId="0" xfId="54" applyNumberFormat="1" applyFont="1" applyFill="1" applyBorder="1" applyAlignment="1" applyProtection="1">
      <alignment horizontal="center"/>
      <protection/>
    </xf>
    <xf numFmtId="182" fontId="39" fillId="36" borderId="10" xfId="0" applyNumberFormat="1" applyFont="1" applyFill="1" applyBorder="1" applyAlignment="1">
      <alignment/>
    </xf>
    <xf numFmtId="182" fontId="81" fillId="36" borderId="10" xfId="0" applyNumberFormat="1" applyFont="1" applyFill="1" applyBorder="1" applyAlignment="1">
      <alignment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80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8" fillId="0" borderId="0" xfId="54" applyNumberFormat="1" applyFont="1" applyProtection="1">
      <alignment/>
      <protection/>
    </xf>
    <xf numFmtId="182" fontId="82" fillId="0" borderId="0" xfId="54" applyNumberFormat="1" applyFont="1" applyFill="1" applyProtection="1">
      <alignment/>
      <protection/>
    </xf>
    <xf numFmtId="182" fontId="82" fillId="0" borderId="0" xfId="54" applyNumberFormat="1" applyFont="1" applyProtection="1">
      <alignment/>
      <protection/>
    </xf>
    <xf numFmtId="182" fontId="80" fillId="0" borderId="0" xfId="0" applyNumberFormat="1" applyFont="1" applyFill="1" applyAlignment="1" applyProtection="1">
      <alignment/>
      <protection/>
    </xf>
    <xf numFmtId="0" fontId="18" fillId="0" borderId="10" xfId="54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Fill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294.43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8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0" style="267" hidden="1" customWidth="1"/>
    <col min="22" max="16384" width="9.125" style="4" customWidth="1"/>
  </cols>
  <sheetData>
    <row r="1" spans="1:21" s="1" customFormat="1" ht="26.25" customHeight="1">
      <c r="A1" s="277" t="s">
        <v>181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  <c r="T1" s="262"/>
      <c r="U1" s="265"/>
    </row>
    <row r="2" spans="2:21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62"/>
      <c r="U2" s="265"/>
    </row>
    <row r="3" spans="1:21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174</v>
      </c>
      <c r="O3" s="290" t="s">
        <v>175</v>
      </c>
      <c r="P3" s="290"/>
      <c r="Q3" s="290"/>
      <c r="R3" s="290"/>
      <c r="S3" s="290"/>
      <c r="T3" s="113"/>
      <c r="U3" s="266"/>
    </row>
    <row r="4" spans="1:19" ht="22.5" customHeight="1">
      <c r="A4" s="279"/>
      <c r="B4" s="281"/>
      <c r="C4" s="282"/>
      <c r="D4" s="283"/>
      <c r="E4" s="291" t="s">
        <v>154</v>
      </c>
      <c r="F4" s="293" t="s">
        <v>33</v>
      </c>
      <c r="G4" s="295" t="s">
        <v>173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182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21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180</v>
      </c>
      <c r="L5" s="301"/>
      <c r="M5" s="302"/>
      <c r="N5" s="289"/>
      <c r="O5" s="298"/>
      <c r="P5" s="296"/>
      <c r="Q5" s="299"/>
      <c r="R5" s="300" t="s">
        <v>102</v>
      </c>
      <c r="S5" s="302"/>
      <c r="T5" s="29" t="s">
        <v>178</v>
      </c>
      <c r="U5" s="267" t="s">
        <v>179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285439.5</v>
      </c>
      <c r="F8" s="151">
        <f>F9+F15+F18+F19+F23+F40</f>
        <v>239682.99999999997</v>
      </c>
      <c r="G8" s="151">
        <f aca="true" t="shared" si="0" ref="G8:G40">F8-E8</f>
        <v>-45756.50000000003</v>
      </c>
      <c r="H8" s="152">
        <f>F8/E8*100</f>
        <v>83.96980796280822</v>
      </c>
      <c r="I8" s="153">
        <f>F8-D8</f>
        <v>-1058768.1</v>
      </c>
      <c r="J8" s="153">
        <f>F8/D8*100</f>
        <v>18.459147210087462</v>
      </c>
      <c r="K8" s="151">
        <v>209787.72</v>
      </c>
      <c r="L8" s="151">
        <f aca="true" t="shared" si="1" ref="L8:L54">F8-K8</f>
        <v>29895.27999999997</v>
      </c>
      <c r="M8" s="205">
        <f aca="true" t="shared" si="2" ref="M8:M31">F8/K8</f>
        <v>1.1425025258866437</v>
      </c>
      <c r="N8" s="151">
        <f>N9+N15+N18+N19+N23+N17</f>
        <v>89194</v>
      </c>
      <c r="O8" s="151">
        <f>O9+O15+O18+O19+O23+O17</f>
        <v>44851.52999999998</v>
      </c>
      <c r="P8" s="151">
        <f>O8-N8</f>
        <v>-44342.47000000002</v>
      </c>
      <c r="Q8" s="151">
        <f>O8/N8*100</f>
        <v>50.28536672870369</v>
      </c>
      <c r="R8" s="15" t="e">
        <f>#N/A</f>
        <v>#N/A</v>
      </c>
      <c r="S8" s="15" t="e">
        <f>#N/A</f>
        <v>#N/A</v>
      </c>
      <c r="T8" s="147"/>
      <c r="U8" s="263"/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159160</v>
      </c>
      <c r="F9" s="156">
        <v>131628.93</v>
      </c>
      <c r="G9" s="150">
        <f t="shared" si="0"/>
        <v>-27531.070000000007</v>
      </c>
      <c r="H9" s="157">
        <f>F9/E9*100</f>
        <v>82.7022681578286</v>
      </c>
      <c r="I9" s="158">
        <f>F9-D9</f>
        <v>-635016.0700000001</v>
      </c>
      <c r="J9" s="158">
        <f>F9/D9*100</f>
        <v>17.16947609388961</v>
      </c>
      <c r="K9" s="227">
        <v>112281.82</v>
      </c>
      <c r="L9" s="159">
        <f t="shared" si="1"/>
        <v>19347.109999999986</v>
      </c>
      <c r="M9" s="206">
        <f t="shared" si="2"/>
        <v>1.1723084823527083</v>
      </c>
      <c r="N9" s="157">
        <f>E9-лютий!E9</f>
        <v>56960</v>
      </c>
      <c r="O9" s="160">
        <f>F9-лютий!F9</f>
        <v>29742.98999999999</v>
      </c>
      <c r="P9" s="161">
        <f>O9-N9</f>
        <v>-27217.01000000001</v>
      </c>
      <c r="Q9" s="158">
        <f>O9/N9*100</f>
        <v>52.217327949438186</v>
      </c>
      <c r="R9" s="100"/>
      <c r="S9" s="101"/>
      <c r="T9" s="147">
        <v>58776</v>
      </c>
      <c r="U9" s="263">
        <f>O9-T9</f>
        <v>-29033.01000000001</v>
      </c>
    </row>
    <row r="10" spans="1:21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143812</v>
      </c>
      <c r="F10" s="140">
        <v>120422.57</v>
      </c>
      <c r="G10" s="103">
        <f t="shared" si="0"/>
        <v>-23389.429999999993</v>
      </c>
      <c r="H10" s="30">
        <f aca="true" t="shared" si="3" ref="H10:H39">F10/E10*100</f>
        <v>83.73610686173616</v>
      </c>
      <c r="I10" s="104">
        <f aca="true" t="shared" si="4" ref="I10:I40">F10-D10</f>
        <v>-580894.4299999999</v>
      </c>
      <c r="J10" s="104">
        <f aca="true" t="shared" si="5" ref="J10:J39">F10/D10*100</f>
        <v>17.170918429183953</v>
      </c>
      <c r="K10" s="106">
        <v>98464.38</v>
      </c>
      <c r="L10" s="106">
        <f t="shared" si="1"/>
        <v>21958.190000000002</v>
      </c>
      <c r="M10" s="207">
        <f t="shared" si="2"/>
        <v>1.2230064313612699</v>
      </c>
      <c r="N10" s="105">
        <f>E10-лютий!E10</f>
        <v>51464</v>
      </c>
      <c r="O10" s="144">
        <f>F10-лютий!F10</f>
        <v>27695.930000000008</v>
      </c>
      <c r="P10" s="106">
        <f aca="true" t="shared" si="6" ref="P10:P40">O10-N10</f>
        <v>-23768.069999999992</v>
      </c>
      <c r="Q10" s="104">
        <f aca="true" t="shared" si="7" ref="Q10:Q27">O10/N10*100</f>
        <v>53.81612389242968</v>
      </c>
      <c r="R10" s="37"/>
      <c r="S10" s="94"/>
      <c r="T10" s="147"/>
      <c r="U10" s="263">
        <f aca="true" t="shared" si="8" ref="U10:U42">O10-T10</f>
        <v>27695.930000000008</v>
      </c>
    </row>
    <row r="11" spans="1:21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7009.67</v>
      </c>
      <c r="G11" s="103">
        <f t="shared" si="0"/>
        <v>-3790.33</v>
      </c>
      <c r="H11" s="30">
        <f t="shared" si="3"/>
        <v>64.90435185185184</v>
      </c>
      <c r="I11" s="104">
        <f t="shared" si="4"/>
        <v>-39496.33</v>
      </c>
      <c r="J11" s="104">
        <f t="shared" si="5"/>
        <v>15.072614286328644</v>
      </c>
      <c r="K11" s="106">
        <v>8077.11</v>
      </c>
      <c r="L11" s="106">
        <f t="shared" si="1"/>
        <v>-1067.4399999999996</v>
      </c>
      <c r="M11" s="207">
        <f t="shared" si="2"/>
        <v>0.8678438203763476</v>
      </c>
      <c r="N11" s="105">
        <f>E11-лютий!E11</f>
        <v>3600</v>
      </c>
      <c r="O11" s="144">
        <f>F11-лютий!F11</f>
        <v>1114.4099999999999</v>
      </c>
      <c r="P11" s="106">
        <f t="shared" si="6"/>
        <v>-2485.59</v>
      </c>
      <c r="Q11" s="104">
        <f t="shared" si="7"/>
        <v>30.955833333333327</v>
      </c>
      <c r="R11" s="37"/>
      <c r="S11" s="94"/>
      <c r="T11" s="147"/>
      <c r="U11" s="263">
        <f t="shared" si="8"/>
        <v>1114.4099999999999</v>
      </c>
    </row>
    <row r="12" spans="1:21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1391.04</v>
      </c>
      <c r="G12" s="103">
        <f t="shared" si="0"/>
        <v>-348.96000000000004</v>
      </c>
      <c r="H12" s="30">
        <f t="shared" si="3"/>
        <v>79.94482758620688</v>
      </c>
      <c r="I12" s="104">
        <f t="shared" si="4"/>
        <v>-6888.96</v>
      </c>
      <c r="J12" s="104">
        <f t="shared" si="5"/>
        <v>16.799999999999997</v>
      </c>
      <c r="K12" s="106">
        <v>2379.47</v>
      </c>
      <c r="L12" s="106">
        <f t="shared" si="1"/>
        <v>-988.4299999999998</v>
      </c>
      <c r="M12" s="207">
        <f t="shared" si="2"/>
        <v>0.5846007724409218</v>
      </c>
      <c r="N12" s="105">
        <f>E12-лютий!E12</f>
        <v>900</v>
      </c>
      <c r="O12" s="144">
        <f>F12-лютий!F12</f>
        <v>353.6199999999999</v>
      </c>
      <c r="P12" s="106">
        <f t="shared" si="6"/>
        <v>-546.3800000000001</v>
      </c>
      <c r="Q12" s="104">
        <f t="shared" si="7"/>
        <v>39.2911111111111</v>
      </c>
      <c r="R12" s="37"/>
      <c r="S12" s="94"/>
      <c r="T12" s="147"/>
      <c r="U12" s="263">
        <f t="shared" si="8"/>
        <v>353.6199999999999</v>
      </c>
    </row>
    <row r="13" spans="1:21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2432.14</v>
      </c>
      <c r="G13" s="103">
        <f t="shared" si="0"/>
        <v>-87.86000000000013</v>
      </c>
      <c r="H13" s="30">
        <f t="shared" si="3"/>
        <v>96.51349206349205</v>
      </c>
      <c r="I13" s="104">
        <f t="shared" si="4"/>
        <v>-6957.860000000001</v>
      </c>
      <c r="J13" s="104">
        <f t="shared" si="5"/>
        <v>25.901384451544196</v>
      </c>
      <c r="K13" s="106">
        <v>2424.94</v>
      </c>
      <c r="L13" s="106">
        <f t="shared" si="1"/>
        <v>7.199999999999818</v>
      </c>
      <c r="M13" s="207">
        <f t="shared" si="2"/>
        <v>1.0029691456283454</v>
      </c>
      <c r="N13" s="105">
        <f>E13-лютий!E13</f>
        <v>900</v>
      </c>
      <c r="O13" s="144">
        <f>F13-лютий!F13</f>
        <v>403.81999999999994</v>
      </c>
      <c r="P13" s="106">
        <f t="shared" si="6"/>
        <v>-496.18000000000006</v>
      </c>
      <c r="Q13" s="104">
        <f t="shared" si="7"/>
        <v>44.86888888888888</v>
      </c>
      <c r="R13" s="37"/>
      <c r="S13" s="94"/>
      <c r="T13" s="147"/>
      <c r="U13" s="263">
        <f t="shared" si="8"/>
        <v>403.81999999999994</v>
      </c>
    </row>
    <row r="14" spans="1:21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373.51</v>
      </c>
      <c r="G14" s="103">
        <f t="shared" si="0"/>
        <v>85.50999999999999</v>
      </c>
      <c r="H14" s="30">
        <f t="shared" si="3"/>
        <v>129.6909722222222</v>
      </c>
      <c r="I14" s="104">
        <f t="shared" si="4"/>
        <v>-778.49</v>
      </c>
      <c r="J14" s="104">
        <f t="shared" si="5"/>
        <v>32.42274305555555</v>
      </c>
      <c r="K14" s="106">
        <v>935.92</v>
      </c>
      <c r="L14" s="106">
        <f t="shared" si="1"/>
        <v>-562.41</v>
      </c>
      <c r="M14" s="207">
        <f t="shared" si="2"/>
        <v>0.39908325497905806</v>
      </c>
      <c r="N14" s="105">
        <f>E14-лютий!E14</f>
        <v>96</v>
      </c>
      <c r="O14" s="144">
        <f>F14-лютий!F14</f>
        <v>175.2</v>
      </c>
      <c r="P14" s="106">
        <f t="shared" si="6"/>
        <v>79.19999999999999</v>
      </c>
      <c r="Q14" s="104">
        <f t="shared" si="7"/>
        <v>182.5</v>
      </c>
      <c r="R14" s="37"/>
      <c r="S14" s="94"/>
      <c r="T14" s="263"/>
      <c r="U14" s="263">
        <f t="shared" si="8"/>
        <v>175.2</v>
      </c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63">
        <f t="shared" si="8"/>
        <v>-3.1300000000000523</v>
      </c>
    </row>
    <row r="16" spans="1:21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63">
        <f t="shared" si="8"/>
        <v>0</v>
      </c>
    </row>
    <row r="17" spans="1:21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63">
        <f t="shared" si="8"/>
        <v>0</v>
      </c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63"/>
    </row>
    <row r="19" spans="1:21" s="6" customFormat="1" ht="18">
      <c r="A19" s="8"/>
      <c r="B19" s="13" t="s">
        <v>183</v>
      </c>
      <c r="C19" s="43">
        <v>14000000</v>
      </c>
      <c r="D19" s="150">
        <f>D20+D21+D22</f>
        <v>130000</v>
      </c>
      <c r="E19" s="150">
        <f>E20+E21+E22</f>
        <v>27800</v>
      </c>
      <c r="F19" s="156">
        <f>F20+F21+F22</f>
        <v>21670.48</v>
      </c>
      <c r="G19" s="162">
        <f t="shared" si="0"/>
        <v>-6129.52</v>
      </c>
      <c r="H19" s="164">
        <f t="shared" si="3"/>
        <v>77.95136690647482</v>
      </c>
      <c r="I19" s="165">
        <f t="shared" si="4"/>
        <v>-108329.52</v>
      </c>
      <c r="J19" s="165">
        <f t="shared" si="5"/>
        <v>16.6696</v>
      </c>
      <c r="K19" s="161">
        <v>18270.9</v>
      </c>
      <c r="L19" s="167">
        <f t="shared" si="1"/>
        <v>3399.579999999998</v>
      </c>
      <c r="M19" s="213">
        <f t="shared" si="2"/>
        <v>1.186065273193986</v>
      </c>
      <c r="N19" s="164">
        <f>N20+N21+N22</f>
        <v>9800</v>
      </c>
      <c r="O19" s="168">
        <f>O20+O21+O22</f>
        <v>7964.57</v>
      </c>
      <c r="P19" s="167">
        <f t="shared" si="6"/>
        <v>-1835.4300000000003</v>
      </c>
      <c r="Q19" s="165">
        <f t="shared" si="7"/>
        <v>81.2711224489796</v>
      </c>
      <c r="R19" s="37"/>
      <c r="S19" s="94"/>
      <c r="T19" s="147"/>
      <c r="U19" s="263"/>
    </row>
    <row r="20" spans="1:22" s="6" customFormat="1" ht="46.5">
      <c r="A20" s="8"/>
      <c r="B20" s="269" t="s">
        <v>186</v>
      </c>
      <c r="C20" s="123">
        <v>14040000</v>
      </c>
      <c r="D20" s="270">
        <v>130000</v>
      </c>
      <c r="E20" s="270">
        <v>27800</v>
      </c>
      <c r="F20" s="201">
        <v>14173.16</v>
      </c>
      <c r="G20" s="270">
        <f t="shared" si="0"/>
        <v>-13626.84</v>
      </c>
      <c r="H20" s="195">
        <f t="shared" si="3"/>
        <v>50.98258992805755</v>
      </c>
      <c r="I20" s="271">
        <f t="shared" si="4"/>
        <v>-115826.84</v>
      </c>
      <c r="J20" s="271">
        <f t="shared" si="5"/>
        <v>10.902430769230769</v>
      </c>
      <c r="K20" s="272">
        <v>18270.89</v>
      </c>
      <c r="L20" s="166">
        <f t="shared" si="1"/>
        <v>-4097.73</v>
      </c>
      <c r="M20" s="273">
        <f t="shared" si="2"/>
        <v>0.7757235690215419</v>
      </c>
      <c r="N20" s="195">
        <f>E20-лютий!E19</f>
        <v>9800</v>
      </c>
      <c r="O20" s="179">
        <f>F20-лютий!F19</f>
        <v>467.25</v>
      </c>
      <c r="P20" s="166">
        <f t="shared" si="6"/>
        <v>-9332.75</v>
      </c>
      <c r="Q20" s="271">
        <f t="shared" si="7"/>
        <v>4.767857142857143</v>
      </c>
      <c r="R20" s="107"/>
      <c r="S20" s="108"/>
      <c r="T20" s="274">
        <v>4250</v>
      </c>
      <c r="U20" s="275">
        <f t="shared" si="8"/>
        <v>-3782.75</v>
      </c>
      <c r="V20" s="276"/>
    </row>
    <row r="21" spans="1:22" s="6" customFormat="1" ht="18">
      <c r="A21" s="8"/>
      <c r="B21" s="269" t="s">
        <v>184</v>
      </c>
      <c r="C21" s="123">
        <v>14021900</v>
      </c>
      <c r="D21" s="270">
        <v>0</v>
      </c>
      <c r="E21" s="270">
        <v>0</v>
      </c>
      <c r="F21" s="201">
        <v>1494.74</v>
      </c>
      <c r="G21" s="270">
        <f t="shared" si="0"/>
        <v>1494.74</v>
      </c>
      <c r="H21" s="195"/>
      <c r="I21" s="271">
        <f t="shared" si="4"/>
        <v>1494.74</v>
      </c>
      <c r="J21" s="271"/>
      <c r="K21" s="272">
        <v>0</v>
      </c>
      <c r="L21" s="166">
        <f t="shared" si="1"/>
        <v>1494.74</v>
      </c>
      <c r="M21" s="273"/>
      <c r="N21" s="195">
        <v>0</v>
      </c>
      <c r="O21" s="179">
        <f>F21</f>
        <v>1494.74</v>
      </c>
      <c r="P21" s="166"/>
      <c r="Q21" s="271"/>
      <c r="R21" s="107"/>
      <c r="S21" s="108"/>
      <c r="T21" s="274"/>
      <c r="U21" s="275"/>
      <c r="V21" s="276"/>
    </row>
    <row r="22" spans="1:22" s="6" customFormat="1" ht="18">
      <c r="A22" s="8"/>
      <c r="B22" s="269" t="s">
        <v>185</v>
      </c>
      <c r="C22" s="123">
        <v>14031900</v>
      </c>
      <c r="D22" s="270">
        <v>0</v>
      </c>
      <c r="E22" s="270">
        <v>0</v>
      </c>
      <c r="F22" s="201">
        <v>6002.58</v>
      </c>
      <c r="G22" s="270">
        <f t="shared" si="0"/>
        <v>6002.58</v>
      </c>
      <c r="H22" s="195"/>
      <c r="I22" s="271">
        <f t="shared" si="4"/>
        <v>6002.58</v>
      </c>
      <c r="J22" s="271"/>
      <c r="K22" s="272">
        <v>0</v>
      </c>
      <c r="L22" s="166">
        <f t="shared" si="1"/>
        <v>6002.58</v>
      </c>
      <c r="M22" s="273"/>
      <c r="N22" s="195">
        <v>0</v>
      </c>
      <c r="O22" s="179">
        <f>F22</f>
        <v>6002.58</v>
      </c>
      <c r="P22" s="166"/>
      <c r="Q22" s="271"/>
      <c r="R22" s="107"/>
      <c r="S22" s="108"/>
      <c r="T22" s="274"/>
      <c r="U22" s="275"/>
      <c r="V22" s="276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98238.5</v>
      </c>
      <c r="F23" s="223">
        <f>F24+F32+F33+F34+F35</f>
        <v>86631.54999999999</v>
      </c>
      <c r="G23" s="150">
        <f t="shared" si="0"/>
        <v>-11606.950000000012</v>
      </c>
      <c r="H23" s="157">
        <f t="shared" si="3"/>
        <v>88.18492749787505</v>
      </c>
      <c r="I23" s="158">
        <f t="shared" si="4"/>
        <v>-314498.55</v>
      </c>
      <c r="J23" s="158">
        <f t="shared" si="5"/>
        <v>21.5968709403757</v>
      </c>
      <c r="K23" s="158">
        <v>78944.09</v>
      </c>
      <c r="L23" s="161">
        <f t="shared" si="1"/>
        <v>7687.459999999992</v>
      </c>
      <c r="M23" s="209">
        <f t="shared" si="2"/>
        <v>1.0973785371393856</v>
      </c>
      <c r="N23" s="157">
        <f>E23-лютий!E20</f>
        <v>22314</v>
      </c>
      <c r="O23" s="160">
        <f>F23-лютий!F20</f>
        <v>7524.299999999988</v>
      </c>
      <c r="P23" s="161">
        <f t="shared" si="6"/>
        <v>-14789.700000000012</v>
      </c>
      <c r="Q23" s="158">
        <f t="shared" si="7"/>
        <v>33.7200860446356</v>
      </c>
      <c r="R23" s="107"/>
      <c r="S23" s="108"/>
      <c r="T23" s="147"/>
      <c r="U23" s="263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35025.84</v>
      </c>
      <c r="G24" s="150">
        <f t="shared" si="0"/>
        <v>-12814.960000000006</v>
      </c>
      <c r="H24" s="157">
        <f t="shared" si="3"/>
        <v>73.21332419190313</v>
      </c>
      <c r="I24" s="158">
        <f t="shared" si="4"/>
        <v>-171595.16</v>
      </c>
      <c r="J24" s="158">
        <f t="shared" si="5"/>
        <v>16.951732882911223</v>
      </c>
      <c r="K24" s="158">
        <v>40388.11</v>
      </c>
      <c r="L24" s="161">
        <f t="shared" si="1"/>
        <v>-5362.270000000004</v>
      </c>
      <c r="M24" s="209">
        <f t="shared" si="2"/>
        <v>0.867231469855856</v>
      </c>
      <c r="N24" s="157">
        <f>E24-лютий!E21</f>
        <v>15760.000000000004</v>
      </c>
      <c r="O24" s="160">
        <f>F24-лютий!F21</f>
        <v>3570.7899999999972</v>
      </c>
      <c r="P24" s="161">
        <f t="shared" si="6"/>
        <v>-12189.210000000006</v>
      </c>
      <c r="Q24" s="158">
        <f t="shared" si="7"/>
        <v>22.6572969543147</v>
      </c>
      <c r="R24" s="107"/>
      <c r="S24" s="108"/>
      <c r="T24" s="147"/>
      <c r="U24" s="263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4536.67</v>
      </c>
      <c r="G25" s="171">
        <f t="shared" si="0"/>
        <v>-413.3299999999999</v>
      </c>
      <c r="H25" s="173">
        <f t="shared" si="3"/>
        <v>91.64989898989899</v>
      </c>
      <c r="I25" s="174">
        <f t="shared" si="4"/>
        <v>-18272.33</v>
      </c>
      <c r="J25" s="174">
        <f t="shared" si="5"/>
        <v>19.889824192204834</v>
      </c>
      <c r="K25" s="175">
        <v>4194.89</v>
      </c>
      <c r="L25" s="166">
        <f t="shared" si="1"/>
        <v>341.77999999999975</v>
      </c>
      <c r="M25" s="215">
        <f t="shared" si="2"/>
        <v>1.081475318780707</v>
      </c>
      <c r="N25" s="195">
        <f>E25-лютий!E22</f>
        <v>575</v>
      </c>
      <c r="O25" s="179">
        <f>F25-лютий!F22</f>
        <v>128.46000000000004</v>
      </c>
      <c r="P25" s="177">
        <f t="shared" si="6"/>
        <v>-446.53999999999996</v>
      </c>
      <c r="Q25" s="174">
        <f t="shared" si="7"/>
        <v>22.340869565217396</v>
      </c>
      <c r="R25" s="107"/>
      <c r="S25" s="108"/>
      <c r="T25" s="147">
        <v>374</v>
      </c>
      <c r="U25" s="263">
        <f t="shared" si="8"/>
        <v>-245.53999999999996</v>
      </c>
    </row>
    <row r="26" spans="1:21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152.79</v>
      </c>
      <c r="G26" s="198">
        <f t="shared" si="0"/>
        <v>-97.21000000000001</v>
      </c>
      <c r="H26" s="199">
        <f t="shared" si="3"/>
        <v>61.11599999999999</v>
      </c>
      <c r="I26" s="200">
        <f t="shared" si="4"/>
        <v>-1669.51</v>
      </c>
      <c r="J26" s="200">
        <f t="shared" si="5"/>
        <v>8.384459199912198</v>
      </c>
      <c r="K26" s="200">
        <v>156.42</v>
      </c>
      <c r="L26" s="200">
        <f t="shared" si="1"/>
        <v>-3.6299999999999955</v>
      </c>
      <c r="M26" s="228">
        <f t="shared" si="2"/>
        <v>0.9767932489451477</v>
      </c>
      <c r="N26" s="237">
        <f>E26-лютий!E23</f>
        <v>55</v>
      </c>
      <c r="O26" s="237">
        <f>F26-лютий!F23</f>
        <v>2.5600000000000023</v>
      </c>
      <c r="P26" s="200">
        <f t="shared" si="6"/>
        <v>-52.44</v>
      </c>
      <c r="Q26" s="200">
        <f t="shared" si="7"/>
        <v>4.654545454545459</v>
      </c>
      <c r="R26" s="107"/>
      <c r="S26" s="108"/>
      <c r="T26" s="147"/>
      <c r="U26" s="263">
        <f t="shared" si="8"/>
        <v>2.5600000000000023</v>
      </c>
    </row>
    <row r="27" spans="1:21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4383.89</v>
      </c>
      <c r="G27" s="198">
        <f t="shared" si="0"/>
        <v>-316.1099999999997</v>
      </c>
      <c r="H27" s="199">
        <f t="shared" si="3"/>
        <v>93.27425531914895</v>
      </c>
      <c r="I27" s="200">
        <f t="shared" si="4"/>
        <v>-16602.81</v>
      </c>
      <c r="J27" s="200">
        <f t="shared" si="5"/>
        <v>20.888896300990627</v>
      </c>
      <c r="K27" s="200">
        <v>4038.47</v>
      </c>
      <c r="L27" s="200">
        <f t="shared" si="1"/>
        <v>345.4200000000005</v>
      </c>
      <c r="M27" s="228">
        <f t="shared" si="2"/>
        <v>1.085532392217845</v>
      </c>
      <c r="N27" s="237">
        <f>E27-лютий!E24</f>
        <v>520</v>
      </c>
      <c r="O27" s="237">
        <f>F27-лютий!F24</f>
        <v>125.91000000000076</v>
      </c>
      <c r="P27" s="200">
        <f t="shared" si="6"/>
        <v>-394.08999999999924</v>
      </c>
      <c r="Q27" s="200">
        <f t="shared" si="7"/>
        <v>24.213461538461686</v>
      </c>
      <c r="R27" s="107"/>
      <c r="S27" s="108"/>
      <c r="T27" s="147"/>
      <c r="U27" s="263">
        <f t="shared" si="8"/>
        <v>125.91000000000076</v>
      </c>
    </row>
    <row r="28" spans="1:21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104.17</v>
      </c>
      <c r="G28" s="171">
        <f t="shared" si="0"/>
        <v>48.370000000000005</v>
      </c>
      <c r="H28" s="173">
        <f t="shared" si="3"/>
        <v>186.68458781362008</v>
      </c>
      <c r="I28" s="174">
        <f t="shared" si="4"/>
        <v>-715.83</v>
      </c>
      <c r="J28" s="174">
        <f t="shared" si="5"/>
        <v>12.703658536585365</v>
      </c>
      <c r="K28" s="174">
        <v>313.88</v>
      </c>
      <c r="L28" s="174">
        <f t="shared" si="1"/>
        <v>-209.70999999999998</v>
      </c>
      <c r="M28" s="212">
        <f t="shared" si="2"/>
        <v>0.3318784248757487</v>
      </c>
      <c r="N28" s="195">
        <f>E28-лютий!E25</f>
        <v>5</v>
      </c>
      <c r="O28" s="179">
        <f>F28-лютий!F25</f>
        <v>25</v>
      </c>
      <c r="P28" s="177">
        <f t="shared" si="6"/>
        <v>20</v>
      </c>
      <c r="Q28" s="174">
        <f>O28/N28*100</f>
        <v>500</v>
      </c>
      <c r="R28" s="107"/>
      <c r="S28" s="108"/>
      <c r="T28" s="147">
        <v>0</v>
      </c>
      <c r="U28" s="263">
        <f t="shared" si="8"/>
        <v>25</v>
      </c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30385</v>
      </c>
      <c r="G29" s="171">
        <f t="shared" si="0"/>
        <v>-12450</v>
      </c>
      <c r="H29" s="173">
        <f t="shared" si="3"/>
        <v>70.93498307458854</v>
      </c>
      <c r="I29" s="174">
        <f t="shared" si="4"/>
        <v>-152607</v>
      </c>
      <c r="J29" s="174">
        <f t="shared" si="5"/>
        <v>16.604551018623763</v>
      </c>
      <c r="K29" s="175">
        <v>35879.34</v>
      </c>
      <c r="L29" s="175">
        <f t="shared" si="1"/>
        <v>-5494.3399999999965</v>
      </c>
      <c r="M29" s="211">
        <f t="shared" si="2"/>
        <v>0.8468661909611493</v>
      </c>
      <c r="N29" s="195">
        <f>E29-лютий!E26</f>
        <v>15180</v>
      </c>
      <c r="O29" s="179">
        <f>F29-лютий!F26</f>
        <v>3417.3300000000017</v>
      </c>
      <c r="P29" s="177">
        <f t="shared" si="6"/>
        <v>-11762.669999999998</v>
      </c>
      <c r="Q29" s="174">
        <f>O29/N29*100</f>
        <v>22.51205533596839</v>
      </c>
      <c r="R29" s="107"/>
      <c r="S29" s="108"/>
      <c r="T29" s="147">
        <v>15224</v>
      </c>
      <c r="U29" s="263">
        <f t="shared" si="8"/>
        <v>-11806.669999999998</v>
      </c>
    </row>
    <row r="30" spans="1:21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9686.41</v>
      </c>
      <c r="G30" s="198">
        <f t="shared" si="0"/>
        <v>-3143.59</v>
      </c>
      <c r="H30" s="199">
        <f t="shared" si="3"/>
        <v>75.49812938425565</v>
      </c>
      <c r="I30" s="200">
        <f t="shared" si="4"/>
        <v>-47846.59</v>
      </c>
      <c r="J30" s="200">
        <f t="shared" si="5"/>
        <v>16.836267881042183</v>
      </c>
      <c r="K30" s="200">
        <v>10893.12</v>
      </c>
      <c r="L30" s="200">
        <f t="shared" si="1"/>
        <v>-1206.710000000001</v>
      </c>
      <c r="M30" s="228">
        <f t="shared" si="2"/>
        <v>0.8892227387562057</v>
      </c>
      <c r="N30" s="237">
        <f>E30-лютий!E27</f>
        <v>4650</v>
      </c>
      <c r="O30" s="237">
        <f>F30-лютий!F27</f>
        <v>827.2000000000007</v>
      </c>
      <c r="P30" s="200">
        <f t="shared" si="6"/>
        <v>-3822.7999999999993</v>
      </c>
      <c r="Q30" s="200">
        <f>O30/N30*100</f>
        <v>17.78924731182797</v>
      </c>
      <c r="R30" s="107"/>
      <c r="S30" s="108"/>
      <c r="T30" s="147"/>
      <c r="U30" s="263">
        <f t="shared" si="8"/>
        <v>827.2000000000007</v>
      </c>
    </row>
    <row r="31" spans="1:21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20698.59</v>
      </c>
      <c r="G31" s="198">
        <f t="shared" si="0"/>
        <v>-9306.41</v>
      </c>
      <c r="H31" s="199">
        <f t="shared" si="3"/>
        <v>68.98380269955008</v>
      </c>
      <c r="I31" s="200">
        <f t="shared" si="4"/>
        <v>-104760.41</v>
      </c>
      <c r="J31" s="200">
        <f t="shared" si="5"/>
        <v>16.49829027809882</v>
      </c>
      <c r="K31" s="200">
        <v>24986.12</v>
      </c>
      <c r="L31" s="200">
        <f t="shared" si="1"/>
        <v>-4287.529999999999</v>
      </c>
      <c r="M31" s="228">
        <f t="shared" si="2"/>
        <v>0.828403529639656</v>
      </c>
      <c r="N31" s="237">
        <f>E31-лютий!E28</f>
        <v>10530</v>
      </c>
      <c r="O31" s="237">
        <f>F31-лютий!F28</f>
        <v>2590.130000000001</v>
      </c>
      <c r="P31" s="200">
        <f t="shared" si="6"/>
        <v>-7939.869999999999</v>
      </c>
      <c r="Q31" s="200">
        <f>O31/N31*100</f>
        <v>24.597625830959174</v>
      </c>
      <c r="R31" s="107"/>
      <c r="S31" s="108"/>
      <c r="T31" s="147"/>
      <c r="U31" s="263">
        <f t="shared" si="8"/>
        <v>2590.130000000001</v>
      </c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63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34.2</v>
      </c>
      <c r="G33" s="150">
        <f t="shared" si="0"/>
        <v>15.200000000000003</v>
      </c>
      <c r="H33" s="157">
        <f t="shared" si="3"/>
        <v>180</v>
      </c>
      <c r="I33" s="158">
        <f t="shared" si="4"/>
        <v>-80.8</v>
      </c>
      <c r="J33" s="158">
        <f t="shared" si="5"/>
        <v>29.739130434782613</v>
      </c>
      <c r="K33" s="158">
        <v>24.81</v>
      </c>
      <c r="L33" s="158">
        <f t="shared" si="1"/>
        <v>9.390000000000004</v>
      </c>
      <c r="M33" s="210">
        <f>F33/K33</f>
        <v>1.3784764207980655</v>
      </c>
      <c r="N33" s="157">
        <f>E33-лютий!E30</f>
        <v>4</v>
      </c>
      <c r="O33" s="160">
        <f>F33-лютий!F30</f>
        <v>0</v>
      </c>
      <c r="P33" s="161">
        <f t="shared" si="6"/>
        <v>-4</v>
      </c>
      <c r="Q33" s="158">
        <f>O33/N33*100</f>
        <v>0</v>
      </c>
      <c r="R33" s="107"/>
      <c r="S33" s="108"/>
      <c r="T33" s="147">
        <v>4.5</v>
      </c>
      <c r="U33" s="263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-17.56</v>
      </c>
      <c r="G34" s="150">
        <f t="shared" si="0"/>
        <v>-17.56</v>
      </c>
      <c r="H34" s="157"/>
      <c r="I34" s="158">
        <f t="shared" si="4"/>
        <v>-17.56</v>
      </c>
      <c r="J34" s="158"/>
      <c r="K34" s="158">
        <v>-81.54</v>
      </c>
      <c r="L34" s="158">
        <f t="shared" si="1"/>
        <v>63.980000000000004</v>
      </c>
      <c r="M34" s="210">
        <f>F34/K34</f>
        <v>0.21535442727495704</v>
      </c>
      <c r="N34" s="157">
        <f>E34-лютий!E31</f>
        <v>0</v>
      </c>
      <c r="O34" s="160">
        <f>F34-лютий!F31</f>
        <v>-6.799999999999999</v>
      </c>
      <c r="P34" s="161">
        <f t="shared" si="6"/>
        <v>-6.799999999999999</v>
      </c>
      <c r="Q34" s="158" t="e">
        <f>O34/N34*100</f>
        <v>#DIV/0!</v>
      </c>
      <c r="R34" s="107"/>
      <c r="S34" s="108"/>
      <c r="T34" s="147"/>
      <c r="U34" s="263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50378.7</v>
      </c>
      <c r="F35" s="163">
        <v>51588.87</v>
      </c>
      <c r="G35" s="162">
        <f t="shared" si="0"/>
        <v>1210.1700000000055</v>
      </c>
      <c r="H35" s="164">
        <f t="shared" si="3"/>
        <v>102.40214614509703</v>
      </c>
      <c r="I35" s="165">
        <f t="shared" si="4"/>
        <v>-142805.23</v>
      </c>
      <c r="J35" s="165">
        <f t="shared" si="5"/>
        <v>26.53828999954217</v>
      </c>
      <c r="K35" s="178">
        <v>38612.71</v>
      </c>
      <c r="L35" s="178">
        <f>F35-K35</f>
        <v>12976.160000000003</v>
      </c>
      <c r="M35" s="226">
        <f>F35/K35</f>
        <v>1.3360592923936188</v>
      </c>
      <c r="N35" s="157">
        <f>E35-лютий!E32</f>
        <v>6550</v>
      </c>
      <c r="O35" s="160">
        <f>F35-лютий!F32</f>
        <v>3960.310000000005</v>
      </c>
      <c r="P35" s="167">
        <f t="shared" si="6"/>
        <v>-2589.689999999995</v>
      </c>
      <c r="Q35" s="165">
        <f>O35/N35*100</f>
        <v>60.462748091603125</v>
      </c>
      <c r="R35" s="107"/>
      <c r="S35" s="108"/>
      <c r="T35" s="147">
        <v>6650</v>
      </c>
      <c r="U35" s="263">
        <f t="shared" si="8"/>
        <v>-2689.689999999995</v>
      </c>
    </row>
    <row r="36" spans="1:21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2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63">
        <f t="shared" si="8"/>
        <v>0</v>
      </c>
    </row>
    <row r="37" spans="1:21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v>10160</v>
      </c>
      <c r="F37" s="140">
        <v>10164.59</v>
      </c>
      <c r="G37" s="103">
        <f t="shared" si="0"/>
        <v>4.5900000000001455</v>
      </c>
      <c r="H37" s="105">
        <f t="shared" si="3"/>
        <v>100.04517716535433</v>
      </c>
      <c r="I37" s="104">
        <f t="shared" si="4"/>
        <v>-30835.41</v>
      </c>
      <c r="J37" s="104">
        <f t="shared" si="5"/>
        <v>24.79168292682927</v>
      </c>
      <c r="K37" s="127">
        <v>9812.49</v>
      </c>
      <c r="L37" s="127">
        <f t="shared" si="1"/>
        <v>352.10000000000036</v>
      </c>
      <c r="M37" s="216">
        <f t="shared" si="9"/>
        <v>1.035882839116269</v>
      </c>
      <c r="N37" s="105">
        <f>E37-лютий!E34</f>
        <v>1050</v>
      </c>
      <c r="O37" s="144">
        <f>F37-лютий!F34</f>
        <v>408.6399999999994</v>
      </c>
      <c r="P37" s="106">
        <f t="shared" si="6"/>
        <v>-641.3600000000006</v>
      </c>
      <c r="Q37" s="104">
        <f>O37/N37*100</f>
        <v>38.918095238095184</v>
      </c>
      <c r="R37" s="107"/>
      <c r="S37" s="108"/>
      <c r="T37" s="147"/>
      <c r="U37" s="263">
        <f t="shared" si="8"/>
        <v>408.6399999999994</v>
      </c>
    </row>
    <row r="38" spans="1:21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v>40200</v>
      </c>
      <c r="F38" s="140">
        <v>41408.16</v>
      </c>
      <c r="G38" s="103">
        <f t="shared" si="0"/>
        <v>1208.1600000000035</v>
      </c>
      <c r="H38" s="105">
        <f t="shared" si="3"/>
        <v>103.00537313432837</v>
      </c>
      <c r="I38" s="104">
        <f t="shared" si="4"/>
        <v>-111930.94</v>
      </c>
      <c r="J38" s="104">
        <f t="shared" si="5"/>
        <v>27.004306142399425</v>
      </c>
      <c r="K38" s="127">
        <v>28792.38</v>
      </c>
      <c r="L38" s="127">
        <f t="shared" si="1"/>
        <v>12615.780000000002</v>
      </c>
      <c r="M38" s="216">
        <f t="shared" si="9"/>
        <v>1.4381638475179892</v>
      </c>
      <c r="N38" s="105">
        <f>E38-лютий!E35</f>
        <v>5500</v>
      </c>
      <c r="O38" s="144">
        <f>F38-лютий!F35</f>
        <v>3551.6600000000035</v>
      </c>
      <c r="P38" s="106">
        <f t="shared" si="6"/>
        <v>-1948.3399999999965</v>
      </c>
      <c r="Q38" s="104">
        <f>O38/N38*100</f>
        <v>64.57563636363642</v>
      </c>
      <c r="R38" s="107"/>
      <c r="S38" s="108"/>
      <c r="T38" s="147"/>
      <c r="U38" s="263">
        <f t="shared" si="8"/>
        <v>3551.6600000000035</v>
      </c>
    </row>
    <row r="39" spans="1:21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63">
        <f t="shared" si="8"/>
        <v>0</v>
      </c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63">
        <f t="shared" si="8"/>
        <v>0</v>
      </c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12913.7</v>
      </c>
      <c r="F41" s="151">
        <f>F42+F43+F44+F45+F46+F48+F50+F51+F52+F53+F54+F59+F60+F64+F47</f>
        <v>12619.47</v>
      </c>
      <c r="G41" s="151">
        <f>G42+G43+G44+G45+G46+G48+G50+G51+G52+G53+G54+G59+G60+G64</f>
        <v>-267.5399999999996</v>
      </c>
      <c r="H41" s="152">
        <f>F41/E41*100</f>
        <v>97.72156701797316</v>
      </c>
      <c r="I41" s="153">
        <f>F41-D41</f>
        <v>-46405.53</v>
      </c>
      <c r="J41" s="153">
        <f>F41/D41*100</f>
        <v>21.37987293519695</v>
      </c>
      <c r="K41" s="151">
        <v>10672.26</v>
      </c>
      <c r="L41" s="151">
        <f t="shared" si="1"/>
        <v>1947.2099999999991</v>
      </c>
      <c r="M41" s="205">
        <f t="shared" si="9"/>
        <v>1.182455262521715</v>
      </c>
      <c r="N41" s="151">
        <f>N42+N43+N44+N45+N46+N48+N50+N51+N52+N53+N54+N59+N60+N64+N47</f>
        <v>5139.6</v>
      </c>
      <c r="O41" s="151">
        <f>O42+O43+O44+O45+O46+O48+O50+O51+O52+O53+O54+O59+O60+O64+O47</f>
        <v>3927.840000000001</v>
      </c>
      <c r="P41" s="151">
        <f>P42+P43+P44+P45+P46+P48+P50+P51+P52+P53+P54+P59+P60+P64</f>
        <v>-1198.6699999999992</v>
      </c>
      <c r="Q41" s="151">
        <f>O41/N41*100</f>
        <v>76.4230679430306</v>
      </c>
      <c r="R41" s="15" t="e">
        <f>#N/A</f>
        <v>#N/A</v>
      </c>
      <c r="S41" s="15" t="e">
        <f>#N/A</f>
        <v>#N/A</v>
      </c>
      <c r="T41" s="147"/>
      <c r="U41" s="263"/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63">
        <f t="shared" si="8"/>
        <v>0</v>
      </c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/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63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62.08</v>
      </c>
      <c r="G44" s="162">
        <f t="shared" si="12"/>
        <v>43.08</v>
      </c>
      <c r="H44" s="164">
        <f>F44/E44*100</f>
        <v>326.7368421052632</v>
      </c>
      <c r="I44" s="165">
        <f t="shared" si="13"/>
        <v>22.08</v>
      </c>
      <c r="J44" s="165">
        <f aca="true" t="shared" si="15" ref="J44:J65">F44/D44*100</f>
        <v>155.20000000000002</v>
      </c>
      <c r="K44" s="165">
        <v>26.96</v>
      </c>
      <c r="L44" s="165">
        <f t="shared" si="1"/>
        <v>35.12</v>
      </c>
      <c r="M44" s="218">
        <f aca="true" t="shared" si="16" ref="M44:M66">F44/K44</f>
        <v>2.3026706231454006</v>
      </c>
      <c r="N44" s="164">
        <f>E44-лютий!E41</f>
        <v>3</v>
      </c>
      <c r="O44" s="168">
        <f>F44-лютий!F41</f>
        <v>5</v>
      </c>
      <c r="P44" s="167">
        <f t="shared" si="14"/>
        <v>2</v>
      </c>
      <c r="Q44" s="165">
        <f t="shared" si="11"/>
        <v>166.66666666666669</v>
      </c>
      <c r="R44" s="37"/>
      <c r="S44" s="94"/>
      <c r="T44" s="147"/>
      <c r="U44" s="263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63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93.92</v>
      </c>
      <c r="G46" s="162">
        <f t="shared" si="12"/>
        <v>31.92</v>
      </c>
      <c r="H46" s="164">
        <f t="shared" si="10"/>
        <v>151.48387096774195</v>
      </c>
      <c r="I46" s="165">
        <f t="shared" si="13"/>
        <v>-166.07999999999998</v>
      </c>
      <c r="J46" s="165">
        <f t="shared" si="15"/>
        <v>36.12307692307692</v>
      </c>
      <c r="K46" s="165">
        <v>20.4</v>
      </c>
      <c r="L46" s="165">
        <f t="shared" si="1"/>
        <v>73.52000000000001</v>
      </c>
      <c r="M46" s="218">
        <f t="shared" si="16"/>
        <v>4.6039215686274515</v>
      </c>
      <c r="N46" s="164">
        <f>E46-лютий!E43</f>
        <v>22</v>
      </c>
      <c r="O46" s="168">
        <f>F46-лютий!F43</f>
        <v>11.840000000000003</v>
      </c>
      <c r="P46" s="167">
        <f t="shared" si="14"/>
        <v>-10.159999999999997</v>
      </c>
      <c r="Q46" s="165">
        <f t="shared" si="11"/>
        <v>53.818181818181834</v>
      </c>
      <c r="R46" s="37"/>
      <c r="S46" s="94"/>
      <c r="T46" s="147"/>
      <c r="U46" s="263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63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180</v>
      </c>
      <c r="F48" s="156">
        <v>241.47</v>
      </c>
      <c r="G48" s="162">
        <f t="shared" si="12"/>
        <v>61.47</v>
      </c>
      <c r="H48" s="164">
        <f t="shared" si="10"/>
        <v>134.14999999999998</v>
      </c>
      <c r="I48" s="165">
        <f t="shared" si="13"/>
        <v>-488.53</v>
      </c>
      <c r="J48" s="165">
        <f t="shared" si="15"/>
        <v>33.07808219178082</v>
      </c>
      <c r="K48" s="165">
        <v>0</v>
      </c>
      <c r="L48" s="165">
        <f t="shared" si="1"/>
        <v>241.47</v>
      </c>
      <c r="M48" s="218"/>
      <c r="N48" s="164">
        <f>E48-лютий!E45</f>
        <v>60</v>
      </c>
      <c r="O48" s="168">
        <f>F48-лютий!F45</f>
        <v>49.08000000000001</v>
      </c>
      <c r="P48" s="167">
        <f t="shared" si="14"/>
        <v>-10.919999999999987</v>
      </c>
      <c r="Q48" s="165">
        <f t="shared" si="11"/>
        <v>81.80000000000001</v>
      </c>
      <c r="R48" s="37"/>
      <c r="S48" s="94"/>
      <c r="T48" s="147"/>
      <c r="U48" s="263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63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2300</v>
      </c>
      <c r="F50" s="156">
        <v>2812.82</v>
      </c>
      <c r="G50" s="162">
        <f t="shared" si="12"/>
        <v>512.8200000000002</v>
      </c>
      <c r="H50" s="164">
        <f t="shared" si="10"/>
        <v>122.29652173913044</v>
      </c>
      <c r="I50" s="165">
        <f t="shared" si="13"/>
        <v>-8187.18</v>
      </c>
      <c r="J50" s="165">
        <f t="shared" si="15"/>
        <v>25.57109090909091</v>
      </c>
      <c r="K50" s="165">
        <v>2339.58</v>
      </c>
      <c r="L50" s="165">
        <f t="shared" si="1"/>
        <v>473.24000000000024</v>
      </c>
      <c r="M50" s="218">
        <f t="shared" si="16"/>
        <v>1.2022756221202098</v>
      </c>
      <c r="N50" s="164">
        <f>E50-лютий!E47</f>
        <v>900</v>
      </c>
      <c r="O50" s="168">
        <f>F50-лютий!F47</f>
        <v>669.1000000000004</v>
      </c>
      <c r="P50" s="167">
        <f t="shared" si="14"/>
        <v>-230.89999999999964</v>
      </c>
      <c r="Q50" s="165">
        <f t="shared" si="11"/>
        <v>74.34444444444448</v>
      </c>
      <c r="R50" s="37"/>
      <c r="S50" s="94"/>
      <c r="T50" s="147"/>
      <c r="U50" s="263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107.72</v>
      </c>
      <c r="G51" s="162">
        <f t="shared" si="12"/>
        <v>32.72</v>
      </c>
      <c r="H51" s="164">
        <f t="shared" si="10"/>
        <v>143.62666666666667</v>
      </c>
      <c r="I51" s="165">
        <f t="shared" si="13"/>
        <v>-202.28</v>
      </c>
      <c r="J51" s="165">
        <f t="shared" si="15"/>
        <v>34.748387096774195</v>
      </c>
      <c r="K51" s="165">
        <v>1.2</v>
      </c>
      <c r="L51" s="165">
        <f t="shared" si="1"/>
        <v>106.52</v>
      </c>
      <c r="M51" s="218"/>
      <c r="N51" s="164">
        <f>E51-лютий!E48</f>
        <v>25</v>
      </c>
      <c r="O51" s="168">
        <f>F51-лютий!F48</f>
        <v>17.28</v>
      </c>
      <c r="P51" s="167">
        <f t="shared" si="14"/>
        <v>-7.719999999999999</v>
      </c>
      <c r="Q51" s="165">
        <f t="shared" si="11"/>
        <v>69.12</v>
      </c>
      <c r="R51" s="37"/>
      <c r="S51" s="94"/>
      <c r="T51" s="147"/>
      <c r="U51" s="263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1.6</v>
      </c>
      <c r="G52" s="162">
        <f t="shared" si="12"/>
        <v>-1.4</v>
      </c>
      <c r="H52" s="164">
        <f t="shared" si="10"/>
        <v>53.333333333333336</v>
      </c>
      <c r="I52" s="165">
        <f t="shared" si="13"/>
        <v>-18.4</v>
      </c>
      <c r="J52" s="165">
        <f t="shared" si="15"/>
        <v>8</v>
      </c>
      <c r="K52" s="165">
        <v>0</v>
      </c>
      <c r="L52" s="165">
        <f t="shared" si="1"/>
        <v>1.6</v>
      </c>
      <c r="M52" s="218"/>
      <c r="N52" s="164">
        <f>E52-лютий!E49</f>
        <v>1</v>
      </c>
      <c r="O52" s="168">
        <f>F52-лютий!F49</f>
        <v>1.6</v>
      </c>
      <c r="P52" s="167">
        <f t="shared" si="14"/>
        <v>0.6000000000000001</v>
      </c>
      <c r="Q52" s="165">
        <f t="shared" si="11"/>
        <v>160</v>
      </c>
      <c r="R52" s="37"/>
      <c r="S52" s="94"/>
      <c r="T52" s="147"/>
      <c r="U52" s="263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63"/>
    </row>
    <row r="54" spans="1:21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123.77</v>
      </c>
      <c r="G54" s="162">
        <f t="shared" si="12"/>
        <v>-111.23</v>
      </c>
      <c r="H54" s="164">
        <f t="shared" si="10"/>
        <v>52.668085106382975</v>
      </c>
      <c r="I54" s="165">
        <f t="shared" si="13"/>
        <v>-1076.23</v>
      </c>
      <c r="J54" s="165">
        <f t="shared" si="15"/>
        <v>10.314166666666665</v>
      </c>
      <c r="K54" s="165">
        <v>1500.1</v>
      </c>
      <c r="L54" s="165">
        <f t="shared" si="1"/>
        <v>-1376.33</v>
      </c>
      <c r="M54" s="218">
        <f t="shared" si="16"/>
        <v>0.08250783281114593</v>
      </c>
      <c r="N54" s="164">
        <f>E54-лютий!E51</f>
        <v>95</v>
      </c>
      <c r="O54" s="168">
        <f>F54-лютий!F51</f>
        <v>34.72</v>
      </c>
      <c r="P54" s="167">
        <f t="shared" si="14"/>
        <v>-60.28</v>
      </c>
      <c r="Q54" s="165">
        <f t="shared" si="11"/>
        <v>36.54736842105263</v>
      </c>
      <c r="R54" s="37"/>
      <c r="S54" s="94"/>
      <c r="T54" s="147"/>
      <c r="U54" s="263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104.15</v>
      </c>
      <c r="G55" s="34">
        <f t="shared" si="12"/>
        <v>-85.85</v>
      </c>
      <c r="H55" s="30">
        <f t="shared" si="10"/>
        <v>54.81578947368422</v>
      </c>
      <c r="I55" s="104">
        <f t="shared" si="13"/>
        <v>-893.85</v>
      </c>
      <c r="J55" s="104">
        <f t="shared" si="15"/>
        <v>10.435871743486974</v>
      </c>
      <c r="K55" s="104">
        <v>163.68</v>
      </c>
      <c r="L55" s="104">
        <f>F55-K55</f>
        <v>-59.53</v>
      </c>
      <c r="M55" s="109">
        <f t="shared" si="16"/>
        <v>0.6363025415444771</v>
      </c>
      <c r="N55" s="105">
        <f>E55-лютий!E52</f>
        <v>80</v>
      </c>
      <c r="O55" s="144">
        <f>F55-лютий!F52</f>
        <v>30.440000000000012</v>
      </c>
      <c r="P55" s="106">
        <f t="shared" si="14"/>
        <v>-49.55999999999999</v>
      </c>
      <c r="Q55" s="119">
        <f t="shared" si="11"/>
        <v>38.05000000000002</v>
      </c>
      <c r="R55" s="37"/>
      <c r="S55" s="94"/>
      <c r="T55" s="147"/>
      <c r="U55" s="263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63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63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19.52</v>
      </c>
      <c r="G58" s="34">
        <f t="shared" si="12"/>
        <v>-25.48</v>
      </c>
      <c r="H58" s="30">
        <f t="shared" si="10"/>
        <v>43.37777777777777</v>
      </c>
      <c r="I58" s="104">
        <f t="shared" si="13"/>
        <v>-180.48</v>
      </c>
      <c r="J58" s="104">
        <f t="shared" si="15"/>
        <v>9.76</v>
      </c>
      <c r="K58" s="104">
        <v>1336.3</v>
      </c>
      <c r="L58" s="104">
        <f>F58-K58</f>
        <v>-1316.78</v>
      </c>
      <c r="M58" s="109">
        <f t="shared" si="16"/>
        <v>0.014607498316246352</v>
      </c>
      <c r="N58" s="105">
        <f>E58-лютий!E55</f>
        <v>15</v>
      </c>
      <c r="O58" s="144">
        <f>F58-лютий!F55</f>
        <v>4.279999999999999</v>
      </c>
      <c r="P58" s="106">
        <f t="shared" si="14"/>
        <v>-10.72</v>
      </c>
      <c r="Q58" s="119">
        <f t="shared" si="11"/>
        <v>28.533333333333328</v>
      </c>
      <c r="R58" s="37"/>
      <c r="S58" s="94"/>
      <c r="T58" s="147"/>
      <c r="U58" s="263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1.67</v>
      </c>
      <c r="G59" s="162">
        <f t="shared" si="12"/>
        <v>-0.8300000000000001</v>
      </c>
      <c r="H59" s="164"/>
      <c r="I59" s="165">
        <f t="shared" si="13"/>
        <v>-0.8300000000000001</v>
      </c>
      <c r="J59" s="165">
        <f t="shared" si="15"/>
        <v>66.8</v>
      </c>
      <c r="K59" s="165">
        <v>2.46</v>
      </c>
      <c r="L59" s="165">
        <f>F59-K59</f>
        <v>-0.79</v>
      </c>
      <c r="M59" s="218">
        <f t="shared" si="16"/>
        <v>0.6788617886178862</v>
      </c>
      <c r="N59" s="164">
        <f>E59-лютий!E56</f>
        <v>0</v>
      </c>
      <c r="O59" s="168">
        <f>F59-лютий!F56</f>
        <v>0</v>
      </c>
      <c r="P59" s="167">
        <f t="shared" si="14"/>
        <v>0</v>
      </c>
      <c r="Q59" s="165"/>
      <c r="R59" s="37"/>
      <c r="S59" s="94"/>
      <c r="T59" s="147"/>
      <c r="U59" s="263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2800</v>
      </c>
      <c r="F60" s="156">
        <v>2998.88</v>
      </c>
      <c r="G60" s="162">
        <f t="shared" si="12"/>
        <v>198.8800000000001</v>
      </c>
      <c r="H60" s="164">
        <f t="shared" si="10"/>
        <v>107.10285714285715</v>
      </c>
      <c r="I60" s="165">
        <f t="shared" si="13"/>
        <v>-4351.12</v>
      </c>
      <c r="J60" s="165">
        <f t="shared" si="15"/>
        <v>40.80108843537415</v>
      </c>
      <c r="K60" s="165">
        <v>1114.84</v>
      </c>
      <c r="L60" s="165">
        <f aca="true" t="shared" si="17" ref="L60:L66">F60-K60</f>
        <v>1884.0400000000002</v>
      </c>
      <c r="M60" s="218">
        <f t="shared" si="16"/>
        <v>2.689964479207779</v>
      </c>
      <c r="N60" s="164">
        <f>E60-лютий!E57</f>
        <v>600</v>
      </c>
      <c r="O60" s="168">
        <f>F60-лютий!F57</f>
        <v>287.4500000000003</v>
      </c>
      <c r="P60" s="167">
        <f t="shared" si="14"/>
        <v>-312.5499999999997</v>
      </c>
      <c r="Q60" s="165">
        <f t="shared" si="11"/>
        <v>47.90833333333338</v>
      </c>
      <c r="R60" s="37"/>
      <c r="S60" s="94"/>
      <c r="T60" s="147"/>
      <c r="U60" s="263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63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368.88</v>
      </c>
      <c r="G62" s="162"/>
      <c r="H62" s="164"/>
      <c r="I62" s="165"/>
      <c r="J62" s="165"/>
      <c r="K62" s="166">
        <v>230.44</v>
      </c>
      <c r="L62" s="165">
        <f t="shared" si="17"/>
        <v>138.44</v>
      </c>
      <c r="M62" s="218">
        <f t="shared" si="16"/>
        <v>1.6007637562923103</v>
      </c>
      <c r="N62" s="195">
        <f>E62-лютий!E59</f>
        <v>0</v>
      </c>
      <c r="O62" s="179">
        <f>F62-лютий!F59</f>
        <v>83.55000000000001</v>
      </c>
      <c r="P62" s="166"/>
      <c r="Q62" s="165"/>
      <c r="R62" s="37"/>
      <c r="S62" s="94"/>
      <c r="T62" s="147"/>
      <c r="U62" s="263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63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63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63">
        <f>O65-T65</f>
        <v>5.37</v>
      </c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63"/>
    </row>
    <row r="67" spans="1:21" s="6" customFormat="1" ht="18">
      <c r="A67" s="9"/>
      <c r="B67" s="14" t="s">
        <v>28</v>
      </c>
      <c r="C67" s="62"/>
      <c r="D67" s="151">
        <f>D8+D41+D65+D66</f>
        <v>1357491.1</v>
      </c>
      <c r="E67" s="151">
        <f>E8+E41+E65+E66</f>
        <v>298356.9</v>
      </c>
      <c r="F67" s="151">
        <f>F8+F41+F65+F66</f>
        <v>252311.40999999997</v>
      </c>
      <c r="G67" s="151">
        <f>F67-E67</f>
        <v>-46045.49000000005</v>
      </c>
      <c r="H67" s="152">
        <f>F67/E67*100</f>
        <v>84.56697666452492</v>
      </c>
      <c r="I67" s="153">
        <f>F67-D67</f>
        <v>-1105179.6900000002</v>
      </c>
      <c r="J67" s="153">
        <f>F67/D67*100</f>
        <v>18.586597731653633</v>
      </c>
      <c r="K67" s="153">
        <v>220465.78</v>
      </c>
      <c r="L67" s="153">
        <f>F67-K67</f>
        <v>31845.629999999976</v>
      </c>
      <c r="M67" s="219">
        <f>F67/K67</f>
        <v>1.1444470429832692</v>
      </c>
      <c r="N67" s="151">
        <f>N8+N41+N65+N66</f>
        <v>94334.8</v>
      </c>
      <c r="O67" s="151">
        <f>O8+O41+O65+O66</f>
        <v>48785.03999999998</v>
      </c>
      <c r="P67" s="155">
        <f>O67-N67</f>
        <v>-45549.760000000024</v>
      </c>
      <c r="Q67" s="153">
        <f>O67/N67*100</f>
        <v>51.71478605986336</v>
      </c>
      <c r="R67" s="27">
        <f>O67-34768</f>
        <v>14017.039999999979</v>
      </c>
      <c r="S67" s="115">
        <f>O67/34768</f>
        <v>1.403159226875287</v>
      </c>
      <c r="T67" s="147"/>
      <c r="U67" s="263"/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64"/>
      <c r="U68" s="268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64"/>
      <c r="U69" s="268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64"/>
      <c r="U70" s="268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E72-'січень 17'!E69</f>
        <v>0</v>
      </c>
      <c r="O72" s="182">
        <f>F72-'січень 17'!F69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E73-'січень 17'!E70</f>
        <v>0</v>
      </c>
      <c r="O73" s="182">
        <f>F73-'січень 17'!F70</f>
        <v>0</v>
      </c>
      <c r="P73" s="167">
        <f>O73-N73</f>
        <v>0</v>
      </c>
      <c r="Q73" s="167"/>
      <c r="R73" s="38"/>
      <c r="S73" s="97"/>
    </row>
    <row r="74" spans="2:19" ht="17.25" hidden="1">
      <c r="B74" s="261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N73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6.5" hidden="1">
      <c r="B75" s="23" t="s">
        <v>37</v>
      </c>
      <c r="C75" s="74">
        <v>21110000</v>
      </c>
      <c r="D75" s="180">
        <v>0</v>
      </c>
      <c r="E75" s="180"/>
      <c r="F75" s="181">
        <v>0</v>
      </c>
      <c r="G75" s="162" t="e">
        <f>#N/A</f>
        <v>#N/A</v>
      </c>
      <c r="H75" s="164" t="e">
        <f>F75/E75*100</f>
        <v>#DIV/0!</v>
      </c>
      <c r="I75" s="167" t="e">
        <f>#N/A</f>
        <v>#N/A</v>
      </c>
      <c r="J75" s="167" t="e">
        <f>#N/A</f>
        <v>#N/A</v>
      </c>
      <c r="K75" s="167"/>
      <c r="L75" s="167"/>
      <c r="M75" s="167"/>
      <c r="N75" s="162">
        <v>0</v>
      </c>
      <c r="O75" s="182">
        <f>F75</f>
        <v>0</v>
      </c>
      <c r="P75" s="167" t="e">
        <f>#N/A</f>
        <v>#N/A</v>
      </c>
      <c r="Q75" s="16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0.08</v>
      </c>
      <c r="G76" s="162">
        <f aca="true" t="shared" si="18" ref="G76:G87">F76-E76</f>
        <v>0.08</v>
      </c>
      <c r="H76" s="164"/>
      <c r="I76" s="167">
        <f aca="true" t="shared" si="19" ref="I76:I87">F76-D76</f>
        <v>-104205.95</v>
      </c>
      <c r="J76" s="167">
        <f>F76/D76*100</f>
        <v>7.677098916444663E-05</v>
      </c>
      <c r="K76" s="167">
        <v>0.15</v>
      </c>
      <c r="L76" s="167">
        <f aca="true" t="shared" si="20" ref="L76:L87">F76-K76</f>
        <v>-0.06999999999999999</v>
      </c>
      <c r="M76" s="209">
        <f>F76/K76</f>
        <v>0.5333333333333333</v>
      </c>
      <c r="N76" s="164">
        <f>E76-лютий!E73</f>
        <v>0</v>
      </c>
      <c r="O76" s="168">
        <f>F76-лютий!F73</f>
        <v>0.009999999999999995</v>
      </c>
      <c r="P76" s="167">
        <f aca="true" t="shared" si="21" ref="P76:P89">O76-N76</f>
        <v>0.009999999999999995</v>
      </c>
      <c r="Q76" s="167" t="e">
        <f>O76/N76*100</f>
        <v>#DIV/0!</v>
      </c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64.31</v>
      </c>
      <c r="G77" s="162">
        <f t="shared" si="18"/>
        <v>-4765.69</v>
      </c>
      <c r="H77" s="164">
        <f>F77/E77*100</f>
        <v>1.3314699792960663</v>
      </c>
      <c r="I77" s="167">
        <f t="shared" si="19"/>
        <v>-53935.69</v>
      </c>
      <c r="J77" s="167">
        <f>F77/D77*100</f>
        <v>0.1190925925925926</v>
      </c>
      <c r="K77" s="167">
        <v>318.64</v>
      </c>
      <c r="L77" s="167">
        <f t="shared" si="20"/>
        <v>-254.32999999999998</v>
      </c>
      <c r="M77" s="209">
        <f>F77/K77</f>
        <v>0.20182651267888527</v>
      </c>
      <c r="N77" s="164">
        <f>E77-лютий!E74</f>
        <v>3600</v>
      </c>
      <c r="O77" s="168">
        <f>F77-лютий!F74</f>
        <v>15.969999999999999</v>
      </c>
      <c r="P77" s="167">
        <f t="shared" si="21"/>
        <v>-3584.03</v>
      </c>
      <c r="Q77" s="167">
        <f>O77/N77*100</f>
        <v>0.4436111111111111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1281.63</v>
      </c>
      <c r="G80" s="185">
        <f t="shared" si="18"/>
        <v>-8201.369999999999</v>
      </c>
      <c r="H80" s="186">
        <f>F80/E80*100</f>
        <v>13.515026890224613</v>
      </c>
      <c r="I80" s="187">
        <f t="shared" si="19"/>
        <v>-235936.4</v>
      </c>
      <c r="J80" s="187">
        <f>F80/D80*100</f>
        <v>0.5402751215832963</v>
      </c>
      <c r="K80" s="187">
        <v>8278.87</v>
      </c>
      <c r="L80" s="187">
        <f t="shared" si="20"/>
        <v>-6997.240000000001</v>
      </c>
      <c r="M80" s="214">
        <f>F80/K80</f>
        <v>0.15480735897531908</v>
      </c>
      <c r="N80" s="185">
        <f>N76+N77+N78+N79</f>
        <v>7451</v>
      </c>
      <c r="O80" s="189">
        <f>O76+O77+O78+O79</f>
        <v>128.6300000000001</v>
      </c>
      <c r="P80" s="187">
        <f t="shared" si="21"/>
        <v>-7322.37</v>
      </c>
      <c r="Q80" s="187">
        <f>O80/N80*100</f>
        <v>1.726345456985641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2217.23</v>
      </c>
      <c r="G83" s="162">
        <f t="shared" si="18"/>
        <v>-139.07000000000016</v>
      </c>
      <c r="H83" s="164">
        <f>F83/E83*100</f>
        <v>94.09795017612358</v>
      </c>
      <c r="I83" s="167">
        <f t="shared" si="19"/>
        <v>-6142.77</v>
      </c>
      <c r="J83" s="167">
        <f>F83/D83*100</f>
        <v>26.52188995215311</v>
      </c>
      <c r="K83" s="167">
        <v>2019</v>
      </c>
      <c r="L83" s="167">
        <f t="shared" si="20"/>
        <v>198.23000000000002</v>
      </c>
      <c r="M83" s="209"/>
      <c r="N83" s="164">
        <f>E83-лютий!E80</f>
        <v>6.300000000000182</v>
      </c>
      <c r="O83" s="168">
        <f>F83-лютий!F80</f>
        <v>0</v>
      </c>
      <c r="P83" s="167">
        <f>O83-N83</f>
        <v>-6.300000000000182</v>
      </c>
      <c r="Q83" s="190">
        <f>O83/N83*100</f>
        <v>0</v>
      </c>
      <c r="R83" s="41"/>
      <c r="S83" s="99"/>
      <c r="T83" s="29">
        <v>3.8</v>
      </c>
      <c r="U83" s="267">
        <f>O83-T83</f>
        <v>-3.8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2226.04</v>
      </c>
      <c r="G85" s="183">
        <f>G81+G84+G82+G83</f>
        <v>-130.76000000000016</v>
      </c>
      <c r="H85" s="186">
        <f>F85/E85*100</f>
        <v>94.45179904955872</v>
      </c>
      <c r="I85" s="187">
        <f t="shared" si="19"/>
        <v>-6173.96</v>
      </c>
      <c r="J85" s="187">
        <f>F85/D85*100</f>
        <v>26.500476190476192</v>
      </c>
      <c r="K85" s="187">
        <v>2019.85</v>
      </c>
      <c r="L85" s="187">
        <f t="shared" si="20"/>
        <v>206.19000000000005</v>
      </c>
      <c r="M85" s="220">
        <f t="shared" si="22"/>
        <v>1.1020818377602297</v>
      </c>
      <c r="N85" s="185">
        <f>N81+N84+N82+N83</f>
        <v>6.800000000000182</v>
      </c>
      <c r="O85" s="189">
        <f>O81+O84+O82+O83</f>
        <v>0</v>
      </c>
      <c r="P85" s="185">
        <f>P81+P84+P82+P83</f>
        <v>-6.800000000000182</v>
      </c>
      <c r="Q85" s="187">
        <f>O85/N85*100</f>
        <v>0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1.12</v>
      </c>
      <c r="G86" s="162">
        <f t="shared" si="18"/>
        <v>-11.780000000000001</v>
      </c>
      <c r="H86" s="164">
        <f>F86/E86*100</f>
        <v>8.68217054263566</v>
      </c>
      <c r="I86" s="167">
        <f t="shared" si="19"/>
        <v>-36.88</v>
      </c>
      <c r="J86" s="167">
        <f>F86/D86*100</f>
        <v>2.947368421052632</v>
      </c>
      <c r="K86" s="167">
        <v>9.19</v>
      </c>
      <c r="L86" s="167">
        <f t="shared" si="20"/>
        <v>-8.07</v>
      </c>
      <c r="M86" s="209">
        <f t="shared" si="22"/>
        <v>0.1218715995647443</v>
      </c>
      <c r="N86" s="164">
        <f>E86-лютий!E83</f>
        <v>8</v>
      </c>
      <c r="O86" s="168">
        <f>F86-лютий!F83</f>
        <v>0.16000000000000014</v>
      </c>
      <c r="P86" s="167">
        <f t="shared" si="21"/>
        <v>-7.84</v>
      </c>
      <c r="Q86" s="167">
        <f>O86/N86</f>
        <v>0.020000000000000018</v>
      </c>
      <c r="R86" s="38"/>
      <c r="S86" s="97"/>
    </row>
    <row r="87" spans="2:19" ht="18">
      <c r="B87" s="122" t="s">
        <v>143</v>
      </c>
      <c r="C87" s="43">
        <v>21110000</v>
      </c>
      <c r="D87" s="180">
        <v>0</v>
      </c>
      <c r="E87" s="180">
        <v>0</v>
      </c>
      <c r="F87" s="181">
        <v>26.66</v>
      </c>
      <c r="G87" s="162">
        <f t="shared" si="18"/>
        <v>26.66</v>
      </c>
      <c r="H87" s="164"/>
      <c r="I87" s="167">
        <f t="shared" si="19"/>
        <v>26.66</v>
      </c>
      <c r="J87" s="167"/>
      <c r="K87" s="167">
        <v>0</v>
      </c>
      <c r="L87" s="167">
        <f t="shared" si="20"/>
        <v>26.66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D74+D86+D80+D85</f>
        <v>245656.03</v>
      </c>
      <c r="E88" s="191">
        <f>E74+E86+E80+E85+E87</f>
        <v>11852.7</v>
      </c>
      <c r="F88" s="191">
        <f>F74+F86+F80+F85+F87</f>
        <v>3535.46</v>
      </c>
      <c r="G88" s="192">
        <f>F88-E88</f>
        <v>-8317.240000000002</v>
      </c>
      <c r="H88" s="193">
        <f>F88/E88*100</f>
        <v>29.828309161625622</v>
      </c>
      <c r="I88" s="194">
        <f>F88-D88</f>
        <v>-242120.57</v>
      </c>
      <c r="J88" s="194">
        <f>F88/D88*100</f>
        <v>1.439191213828539</v>
      </c>
      <c r="K88" s="194">
        <v>10307.64</v>
      </c>
      <c r="L88" s="194">
        <f>F88-K88</f>
        <v>-6772.179999999999</v>
      </c>
      <c r="M88" s="221">
        <f t="shared" si="22"/>
        <v>0.3429941286269214</v>
      </c>
      <c r="N88" s="191">
        <f>N74+N86+N80+N85+N87</f>
        <v>7465.8</v>
      </c>
      <c r="O88" s="191">
        <f>O74+O86+O80+O85+O87</f>
        <v>128.7900000000001</v>
      </c>
      <c r="P88" s="194">
        <f t="shared" si="21"/>
        <v>-7337.01</v>
      </c>
      <c r="Q88" s="194">
        <f>O88/N88*100</f>
        <v>1.7250663023386656</v>
      </c>
      <c r="R88" s="27">
        <f>O88-8104.96</f>
        <v>-7976.17</v>
      </c>
      <c r="S88" s="95">
        <f>O88/8104.96</f>
        <v>0.015890269662034124</v>
      </c>
    </row>
    <row r="89" spans="2:19" ht="17.25">
      <c r="B89" s="21" t="s">
        <v>32</v>
      </c>
      <c r="C89" s="66"/>
      <c r="D89" s="191">
        <f>D67+D88</f>
        <v>1603147.1300000001</v>
      </c>
      <c r="E89" s="191">
        <f>E67+E88</f>
        <v>310209.60000000003</v>
      </c>
      <c r="F89" s="191">
        <f>F67+F88</f>
        <v>255846.86999999997</v>
      </c>
      <c r="G89" s="192">
        <f>F89-E89</f>
        <v>-54362.73000000007</v>
      </c>
      <c r="H89" s="193">
        <f>F89/E89*100</f>
        <v>82.47548431770001</v>
      </c>
      <c r="I89" s="194">
        <f>F89-D89</f>
        <v>-1347300.2600000002</v>
      </c>
      <c r="J89" s="194">
        <f>F89/D89*100</f>
        <v>15.959038644194806</v>
      </c>
      <c r="K89" s="194">
        <f>K67+K88</f>
        <v>230773.41999999998</v>
      </c>
      <c r="L89" s="194">
        <f>F89-K89</f>
        <v>25073.449999999983</v>
      </c>
      <c r="M89" s="221">
        <f t="shared" si="22"/>
        <v>1.1086496443134568</v>
      </c>
      <c r="N89" s="192">
        <f>N67+N88</f>
        <v>101800.6</v>
      </c>
      <c r="O89" s="192">
        <f>O67+O88</f>
        <v>48913.82999999998</v>
      </c>
      <c r="P89" s="194">
        <f t="shared" si="21"/>
        <v>-52886.770000000026</v>
      </c>
      <c r="Q89" s="194">
        <f>O89/N89*100</f>
        <v>48.048665724956415</v>
      </c>
      <c r="R89" s="27">
        <f>O89-42872.96</f>
        <v>6040.869999999981</v>
      </c>
      <c r="S89" s="95">
        <f>O89/42872.96</f>
        <v>1.140901631237964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10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4554.976000000002</v>
      </c>
      <c r="D92" s="4" t="s">
        <v>24</v>
      </c>
      <c r="G92" s="303"/>
      <c r="H92" s="303"/>
      <c r="I92" s="303"/>
      <c r="J92" s="30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42809</v>
      </c>
      <c r="D93" s="29">
        <v>14652.3</v>
      </c>
      <c r="G93" s="4" t="s">
        <v>58</v>
      </c>
      <c r="O93" s="304"/>
      <c r="P93" s="304"/>
    </row>
    <row r="94" spans="3:16" ht="15">
      <c r="C94" s="81">
        <v>42808</v>
      </c>
      <c r="D94" s="29">
        <v>2587</v>
      </c>
      <c r="F94" s="113" t="s">
        <v>58</v>
      </c>
      <c r="G94" s="305"/>
      <c r="H94" s="305"/>
      <c r="I94" s="118"/>
      <c r="J94" s="306"/>
      <c r="K94" s="306"/>
      <c r="L94" s="306"/>
      <c r="M94" s="306"/>
      <c r="N94" s="306"/>
      <c r="O94" s="304"/>
      <c r="P94" s="304"/>
    </row>
    <row r="95" spans="3:16" ht="15.75" customHeight="1">
      <c r="C95" s="81">
        <v>42807</v>
      </c>
      <c r="D95" s="29">
        <v>1463</v>
      </c>
      <c r="F95" s="68"/>
      <c r="G95" s="305"/>
      <c r="H95" s="305"/>
      <c r="I95" s="118"/>
      <c r="J95" s="307"/>
      <c r="K95" s="307"/>
      <c r="L95" s="307"/>
      <c r="M95" s="307"/>
      <c r="N95" s="307"/>
      <c r="O95" s="304"/>
      <c r="P95" s="304"/>
    </row>
    <row r="96" spans="3:14" ht="15.75" customHeight="1">
      <c r="C96" s="81"/>
      <c r="F96" s="68"/>
      <c r="G96" s="311"/>
      <c r="H96" s="311"/>
      <c r="I96" s="124"/>
      <c r="J96" s="306"/>
      <c r="K96" s="306"/>
      <c r="L96" s="306"/>
      <c r="M96" s="306"/>
      <c r="N96" s="306"/>
    </row>
    <row r="97" spans="2:14" ht="18.75" customHeight="1">
      <c r="B97" s="312" t="s">
        <v>56</v>
      </c>
      <c r="C97" s="313"/>
      <c r="D97" s="133">
        <v>0.29443</v>
      </c>
      <c r="E97" s="69"/>
      <c r="F97" s="125" t="s">
        <v>107</v>
      </c>
      <c r="G97" s="305"/>
      <c r="H97" s="305"/>
      <c r="I97" s="126"/>
      <c r="J97" s="306"/>
      <c r="K97" s="306"/>
      <c r="L97" s="306"/>
      <c r="M97" s="306"/>
      <c r="N97" s="306"/>
    </row>
    <row r="98" spans="6:13" ht="9.75" customHeight="1">
      <c r="F98" s="68"/>
      <c r="G98" s="305"/>
      <c r="H98" s="305"/>
      <c r="I98" s="68"/>
      <c r="J98" s="69"/>
      <c r="K98" s="69"/>
      <c r="L98" s="69"/>
      <c r="M98" s="69"/>
    </row>
    <row r="99" spans="2:13" ht="22.5" customHeight="1" hidden="1">
      <c r="B99" s="308" t="s">
        <v>59</v>
      </c>
      <c r="C99" s="309"/>
      <c r="D99" s="80">
        <v>0</v>
      </c>
      <c r="E99" s="51" t="s">
        <v>24</v>
      </c>
      <c r="F99" s="68"/>
      <c r="G99" s="305"/>
      <c r="H99" s="305"/>
      <c r="I99" s="68"/>
      <c r="J99" s="69"/>
      <c r="K99" s="69"/>
      <c r="L99" s="69"/>
      <c r="M99" s="69"/>
    </row>
    <row r="100" spans="4:16" ht="15" hidden="1">
      <c r="D100" s="68">
        <f>D48+D51+D52</f>
        <v>1060</v>
      </c>
      <c r="E100" s="68">
        <f>E48+E51+E52</f>
        <v>258</v>
      </c>
      <c r="F100" s="203">
        <f>F48+F51+F52</f>
        <v>350.79</v>
      </c>
      <c r="G100" s="68">
        <f>G48+G51+G52</f>
        <v>92.78999999999999</v>
      </c>
      <c r="H100" s="69"/>
      <c r="I100" s="69"/>
      <c r="N100" s="29">
        <f>N48+N51+N52</f>
        <v>86</v>
      </c>
      <c r="O100" s="202">
        <f>O48+O51+O52</f>
        <v>67.96000000000001</v>
      </c>
      <c r="P100" s="29">
        <f>P48+P51+P52</f>
        <v>-18.039999999999985</v>
      </c>
    </row>
    <row r="101" spans="4:16" ht="15" hidden="1">
      <c r="D101" s="78"/>
      <c r="I101" s="29"/>
      <c r="O101" s="310"/>
      <c r="P101" s="310"/>
    </row>
    <row r="102" spans="2:17" ht="15" hidden="1">
      <c r="B102" s="4" t="s">
        <v>119</v>
      </c>
      <c r="D102" s="29">
        <f>D9+D15+D17+D18+D20+D23+D42+D45+D59+D65+D66</f>
        <v>1299048.6</v>
      </c>
      <c r="E102" s="29">
        <f>E9+E15+E17+E18+E20+E23+E42+E45+E59+E65+E66</f>
        <v>285525.7</v>
      </c>
      <c r="F102" s="229">
        <f>F9+F15+F17+F18+F20+F23+F42+F45+F59+F65+F66</f>
        <v>232011.49999999997</v>
      </c>
      <c r="G102" s="29">
        <f>F102-E102</f>
        <v>-53514.20000000004</v>
      </c>
      <c r="H102" s="230">
        <f>F102/E102</f>
        <v>0.8125765911790076</v>
      </c>
      <c r="I102" s="29">
        <f>F102-D102</f>
        <v>-1067037.1</v>
      </c>
      <c r="J102" s="230">
        <f>F102/D102</f>
        <v>0.1786010931384707</v>
      </c>
      <c r="N102" s="29">
        <f>N9+N15+N17+N18+N20+N23+N42+N45+N47+N59+N65+N66</f>
        <v>89208.8</v>
      </c>
      <c r="O102" s="229">
        <f>O9+O15+O17+O18+O20+O23+O42+O45+O47+O59+O65+O66</f>
        <v>37164.38999999998</v>
      </c>
      <c r="P102" s="29">
        <f>O102-N102</f>
        <v>-52044.410000000025</v>
      </c>
      <c r="Q102" s="230">
        <f>O102/N102</f>
        <v>0.416600043941853</v>
      </c>
    </row>
    <row r="103" spans="2:17" ht="15" hidden="1">
      <c r="B103" s="4" t="s">
        <v>120</v>
      </c>
      <c r="D103" s="29">
        <f>D43+D44+D46+D48+D50+D51+D52+D53+D54+D60+D64+D47</f>
        <v>58442.5</v>
      </c>
      <c r="E103" s="29">
        <f>E43+E44+E46+E48+E50+E51+E52+E53+E54+E60+E64+E47</f>
        <v>12831.2</v>
      </c>
      <c r="F103" s="229">
        <f>F43+F44+F46+F48+F50+F51+F52+F53+F54+F60+F64+F47</f>
        <v>12802.590000000002</v>
      </c>
      <c r="G103" s="29">
        <f>G43+G44+G46+G48+G50+G51+G52+G53+G54+G60+G64+G47</f>
        <v>-28.60999999999966</v>
      </c>
      <c r="H103" s="230">
        <f>F103/E103</f>
        <v>0.9977702786956794</v>
      </c>
      <c r="I103" s="29">
        <f>I43+I44+I46+I48+I50+I51+I52+I53+I54+I60+I64+I47</f>
        <v>-45639.909999999996</v>
      </c>
      <c r="J103" s="230">
        <f>F103/D103</f>
        <v>0.21906301065149508</v>
      </c>
      <c r="K103" s="29">
        <f aca="true" t="shared" si="23" ref="K103:P103">K43+K44+K46+K48+K50+K51+K52+K53+K54+K60+K64+K47</f>
        <v>10575.08</v>
      </c>
      <c r="L103" s="29">
        <f t="shared" si="23"/>
        <v>2227.510000000001</v>
      </c>
      <c r="M103" s="29">
        <f t="shared" si="23"/>
        <v>12.687219882053872</v>
      </c>
      <c r="N103" s="29">
        <f t="shared" si="23"/>
        <v>5139.6</v>
      </c>
      <c r="O103" s="229">
        <f t="shared" si="23"/>
        <v>4123.840000000001</v>
      </c>
      <c r="P103" s="29">
        <f t="shared" si="23"/>
        <v>-1015.7599999999993</v>
      </c>
      <c r="Q103" s="230">
        <f>O103/N103</f>
        <v>0.802365942874932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4" ref="E104:P104">SUM(E102:E103)</f>
        <v>298356.9</v>
      </c>
      <c r="F104" s="229">
        <f t="shared" si="24"/>
        <v>244814.08999999997</v>
      </c>
      <c r="G104" s="29">
        <f t="shared" si="24"/>
        <v>-53542.81000000004</v>
      </c>
      <c r="H104" s="230">
        <f>F104/E104</f>
        <v>0.8205410701076461</v>
      </c>
      <c r="I104" s="29">
        <f t="shared" si="24"/>
        <v>-1112677.01</v>
      </c>
      <c r="J104" s="230">
        <f>F104/D104</f>
        <v>0.18034305344616988</v>
      </c>
      <c r="K104" s="29">
        <f t="shared" si="24"/>
        <v>10575.08</v>
      </c>
      <c r="L104" s="29">
        <f t="shared" si="24"/>
        <v>2227.510000000001</v>
      </c>
      <c r="M104" s="29">
        <f t="shared" si="24"/>
        <v>12.687219882053872</v>
      </c>
      <c r="N104" s="29">
        <f t="shared" si="24"/>
        <v>94348.40000000001</v>
      </c>
      <c r="O104" s="229">
        <f t="shared" si="24"/>
        <v>41288.22999999998</v>
      </c>
      <c r="P104" s="29">
        <f t="shared" si="24"/>
        <v>-53060.17000000003</v>
      </c>
      <c r="Q104" s="230">
        <f>O104/N104</f>
        <v>0.4376145223448408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7497.320000000007</v>
      </c>
      <c r="G105" s="29">
        <f t="shared" si="25"/>
        <v>7497.319999999992</v>
      </c>
      <c r="H105" s="230"/>
      <c r="I105" s="29">
        <f t="shared" si="25"/>
        <v>7497.319999999832</v>
      </c>
      <c r="J105" s="230"/>
      <c r="K105" s="29">
        <f t="shared" si="25"/>
        <v>209890.7</v>
      </c>
      <c r="L105" s="29">
        <f t="shared" si="25"/>
        <v>29618.119999999974</v>
      </c>
      <c r="M105" s="29">
        <f t="shared" si="25"/>
        <v>-11.542772839070603</v>
      </c>
      <c r="N105" s="29">
        <f t="shared" si="25"/>
        <v>-13.60000000000582</v>
      </c>
      <c r="O105" s="29">
        <f t="shared" si="25"/>
        <v>7496.809999999998</v>
      </c>
      <c r="P105" s="29">
        <f t="shared" si="25"/>
        <v>7510.4100000000035</v>
      </c>
      <c r="Q105" s="29"/>
      <c r="R105" s="29">
        <f t="shared" si="25"/>
        <v>14017.039999999979</v>
      </c>
      <c r="S105" s="29">
        <f t="shared" si="25"/>
        <v>1.403159226875287</v>
      </c>
      <c r="T105" s="29">
        <f t="shared" si="25"/>
        <v>0</v>
      </c>
    </row>
    <row r="106" ht="15">
      <c r="E106" s="4" t="s">
        <v>58</v>
      </c>
    </row>
    <row r="107" spans="2:5" ht="15" hidden="1">
      <c r="B107" s="260" t="s">
        <v>176</v>
      </c>
      <c r="E107" s="29">
        <f>E67-E9-E20-E29-E35</f>
        <v>18183.200000000026</v>
      </c>
    </row>
    <row r="108" spans="2:5" ht="15" hidden="1">
      <c r="B108" s="260" t="s">
        <v>177</v>
      </c>
      <c r="E108" s="29">
        <f>E88-E83-E76-E77</f>
        <v>4666.4000000000015</v>
      </c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145</v>
      </c>
      <c r="O3" s="290" t="s">
        <v>149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150</v>
      </c>
      <c r="F4" s="293" t="s">
        <v>33</v>
      </c>
      <c r="G4" s="295" t="s">
        <v>146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153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148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8"/>
        <v>138.02999999999997</v>
      </c>
      <c r="M59" s="218">
        <f t="shared" si="17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9" ref="G73:G84">F73-E73</f>
        <v>0.07</v>
      </c>
      <c r="H73" s="164"/>
      <c r="I73" s="167">
        <f aca="true" t="shared" si="20" ref="I73:I84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1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2" ref="P73:P86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9"/>
        <v>26.66</v>
      </c>
      <c r="H84" s="164"/>
      <c r="I84" s="167">
        <f t="shared" si="20"/>
        <v>26.66</v>
      </c>
      <c r="J84" s="167"/>
      <c r="K84" s="167">
        <v>0</v>
      </c>
      <c r="L84" s="167">
        <f t="shared" si="21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2"/>
        <v>14.85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245656.03</v>
      </c>
      <c r="E85" s="191">
        <f>E71+E83+E77+E82+E84</f>
        <v>4386.9</v>
      </c>
      <c r="F85" s="191">
        <f>F71+F83+F77+F82+F84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N71+N83+N77+N82+N84</f>
        <v>3376</v>
      </c>
      <c r="O85" s="191">
        <f>O71+O83+O77+O82+O84</f>
        <v>3289.6299999999997</v>
      </c>
      <c r="P85" s="194">
        <f t="shared" si="22"/>
        <v>-86.37000000000035</v>
      </c>
      <c r="Q85" s="194">
        <f>O85/N85*100</f>
        <v>97.44164691943126</v>
      </c>
      <c r="R85" s="27">
        <f>O85-8104.96</f>
        <v>-4815.33</v>
      </c>
      <c r="S85" s="95">
        <f>O85/8104.96</f>
        <v>0.4058786224731522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03"/>
      <c r="H89" s="303"/>
      <c r="I89" s="303"/>
      <c r="J89" s="30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4"/>
      <c r="P90" s="304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5"/>
      <c r="H91" s="305"/>
      <c r="I91" s="118"/>
      <c r="J91" s="306"/>
      <c r="K91" s="306"/>
      <c r="L91" s="306"/>
      <c r="M91" s="306"/>
      <c r="N91" s="306"/>
      <c r="O91" s="304"/>
      <c r="P91" s="304"/>
    </row>
    <row r="92" spans="3:16" ht="15.75" customHeight="1">
      <c r="C92" s="81">
        <v>42790</v>
      </c>
      <c r="D92" s="29">
        <v>4206.9</v>
      </c>
      <c r="F92" s="68"/>
      <c r="G92" s="305"/>
      <c r="H92" s="305"/>
      <c r="I92" s="118"/>
      <c r="J92" s="307"/>
      <c r="K92" s="307"/>
      <c r="L92" s="307"/>
      <c r="M92" s="307"/>
      <c r="N92" s="307"/>
      <c r="O92" s="304"/>
      <c r="P92" s="304"/>
    </row>
    <row r="93" spans="3:14" ht="15.75" customHeight="1">
      <c r="C93" s="81"/>
      <c r="F93" s="68"/>
      <c r="G93" s="311"/>
      <c r="H93" s="311"/>
      <c r="I93" s="124"/>
      <c r="J93" s="306"/>
      <c r="K93" s="306"/>
      <c r="L93" s="306"/>
      <c r="M93" s="306"/>
      <c r="N93" s="306"/>
    </row>
    <row r="94" spans="2:14" ht="18.75" customHeight="1">
      <c r="B94" s="312" t="s">
        <v>56</v>
      </c>
      <c r="C94" s="313"/>
      <c r="D94" s="133">
        <v>7713.34596</v>
      </c>
      <c r="E94" s="69"/>
      <c r="F94" s="125" t="s">
        <v>107</v>
      </c>
      <c r="G94" s="305"/>
      <c r="H94" s="305"/>
      <c r="I94" s="126"/>
      <c r="J94" s="306"/>
      <c r="K94" s="306"/>
      <c r="L94" s="306"/>
      <c r="M94" s="306"/>
      <c r="N94" s="306"/>
    </row>
    <row r="95" spans="6:13" ht="9.75" customHeight="1">
      <c r="F95" s="68"/>
      <c r="G95" s="305"/>
      <c r="H95" s="305"/>
      <c r="I95" s="68"/>
      <c r="J95" s="69"/>
      <c r="K95" s="69"/>
      <c r="L95" s="69"/>
      <c r="M95" s="69"/>
    </row>
    <row r="96" spans="2:13" ht="22.5" customHeight="1" hidden="1">
      <c r="B96" s="308" t="s">
        <v>59</v>
      </c>
      <c r="C96" s="309"/>
      <c r="D96" s="80">
        <v>0</v>
      </c>
      <c r="E96" s="51" t="s">
        <v>24</v>
      </c>
      <c r="F96" s="68"/>
      <c r="G96" s="305"/>
      <c r="H96" s="30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0"/>
      <c r="P98" s="31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77" t="s">
        <v>144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134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123</v>
      </c>
      <c r="O3" s="290" t="s">
        <v>118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135</v>
      </c>
      <c r="F4" s="293" t="s">
        <v>33</v>
      </c>
      <c r="G4" s="295" t="s">
        <v>136</v>
      </c>
      <c r="H4" s="288" t="s">
        <v>137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124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142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30.75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03"/>
      <c r="H89" s="303"/>
      <c r="I89" s="303"/>
      <c r="J89" s="30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4"/>
      <c r="P90" s="304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5"/>
      <c r="H91" s="305"/>
      <c r="I91" s="118"/>
      <c r="J91" s="306"/>
      <c r="K91" s="306"/>
      <c r="L91" s="306"/>
      <c r="M91" s="306"/>
      <c r="N91" s="306"/>
      <c r="O91" s="304"/>
      <c r="P91" s="304"/>
    </row>
    <row r="92" spans="3:16" ht="15.75" customHeight="1">
      <c r="C92" s="81">
        <v>42762</v>
      </c>
      <c r="D92" s="29">
        <v>8862.4</v>
      </c>
      <c r="F92" s="68"/>
      <c r="G92" s="305"/>
      <c r="H92" s="305"/>
      <c r="I92" s="118"/>
      <c r="J92" s="307"/>
      <c r="K92" s="307"/>
      <c r="L92" s="307"/>
      <c r="M92" s="307"/>
      <c r="N92" s="307"/>
      <c r="O92" s="304"/>
      <c r="P92" s="304"/>
    </row>
    <row r="93" spans="3:14" ht="15.75" customHeight="1">
      <c r="C93" s="81"/>
      <c r="F93" s="68"/>
      <c r="G93" s="311"/>
      <c r="H93" s="311"/>
      <c r="I93" s="124"/>
      <c r="J93" s="306"/>
      <c r="K93" s="306"/>
      <c r="L93" s="306"/>
      <c r="M93" s="306"/>
      <c r="N93" s="306"/>
    </row>
    <row r="94" spans="2:14" ht="18.75" customHeight="1">
      <c r="B94" s="312" t="s">
        <v>56</v>
      </c>
      <c r="C94" s="313"/>
      <c r="D94" s="133">
        <f>9505303.41/1000</f>
        <v>9505.30341</v>
      </c>
      <c r="E94" s="69"/>
      <c r="F94" s="125" t="s">
        <v>107</v>
      </c>
      <c r="G94" s="305"/>
      <c r="H94" s="305"/>
      <c r="I94" s="126"/>
      <c r="J94" s="306"/>
      <c r="K94" s="306"/>
      <c r="L94" s="306"/>
      <c r="M94" s="306"/>
      <c r="N94" s="306"/>
    </row>
    <row r="95" spans="6:13" ht="9.75" customHeight="1">
      <c r="F95" s="68"/>
      <c r="G95" s="305"/>
      <c r="H95" s="305"/>
      <c r="I95" s="68"/>
      <c r="J95" s="69"/>
      <c r="K95" s="69"/>
      <c r="L95" s="69"/>
      <c r="M95" s="69"/>
    </row>
    <row r="96" spans="2:13" ht="22.5" customHeight="1" hidden="1">
      <c r="B96" s="308" t="s">
        <v>59</v>
      </c>
      <c r="C96" s="309"/>
      <c r="D96" s="80">
        <v>0</v>
      </c>
      <c r="E96" s="51" t="s">
        <v>24</v>
      </c>
      <c r="F96" s="68"/>
      <c r="G96" s="305"/>
      <c r="H96" s="30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0"/>
      <c r="P98" s="31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8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4" sqref="B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77" t="s">
        <v>132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126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129</v>
      </c>
      <c r="O3" s="290" t="s">
        <v>125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127</v>
      </c>
      <c r="F4" s="293" t="s">
        <v>33</v>
      </c>
      <c r="G4" s="295" t="s">
        <v>128</v>
      </c>
      <c r="H4" s="288" t="s">
        <v>122</v>
      </c>
      <c r="I4" s="295" t="s">
        <v>103</v>
      </c>
      <c r="J4" s="288" t="s">
        <v>104</v>
      </c>
      <c r="K4" s="85" t="s">
        <v>114</v>
      </c>
      <c r="L4" s="204" t="s">
        <v>113</v>
      </c>
      <c r="M4" s="90" t="s">
        <v>63</v>
      </c>
      <c r="N4" s="288"/>
      <c r="O4" s="297" t="s">
        <v>133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130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03"/>
      <c r="H89" s="303"/>
      <c r="I89" s="303"/>
      <c r="J89" s="30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4"/>
      <c r="P90" s="304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5"/>
      <c r="H91" s="305"/>
      <c r="I91" s="118"/>
      <c r="J91" s="306"/>
      <c r="K91" s="306"/>
      <c r="L91" s="306"/>
      <c r="M91" s="306"/>
      <c r="N91" s="306"/>
      <c r="O91" s="304"/>
      <c r="P91" s="304"/>
    </row>
    <row r="92" spans="3:16" ht="15.75" customHeight="1">
      <c r="C92" s="81">
        <v>42732</v>
      </c>
      <c r="D92" s="29">
        <v>19085.6</v>
      </c>
      <c r="F92" s="68"/>
      <c r="G92" s="305"/>
      <c r="H92" s="305"/>
      <c r="I92" s="118"/>
      <c r="J92" s="307"/>
      <c r="K92" s="307"/>
      <c r="L92" s="307"/>
      <c r="M92" s="307"/>
      <c r="N92" s="307"/>
      <c r="O92" s="304"/>
      <c r="P92" s="304"/>
    </row>
    <row r="93" spans="3:14" ht="15.75" customHeight="1">
      <c r="C93" s="81"/>
      <c r="F93" s="68"/>
      <c r="G93" s="311"/>
      <c r="H93" s="311"/>
      <c r="I93" s="124"/>
      <c r="J93" s="306"/>
      <c r="K93" s="306"/>
      <c r="L93" s="306"/>
      <c r="M93" s="306"/>
      <c r="N93" s="306"/>
    </row>
    <row r="94" spans="2:14" ht="18.75" customHeight="1">
      <c r="B94" s="312" t="s">
        <v>56</v>
      </c>
      <c r="C94" s="313"/>
      <c r="D94" s="133">
        <f>'[1]залишки  (2)'!$G$6/1000</f>
        <v>0.29443</v>
      </c>
      <c r="E94" s="69"/>
      <c r="F94" s="125" t="s">
        <v>107</v>
      </c>
      <c r="G94" s="305"/>
      <c r="H94" s="305"/>
      <c r="I94" s="126"/>
      <c r="J94" s="306"/>
      <c r="K94" s="306"/>
      <c r="L94" s="306"/>
      <c r="M94" s="306"/>
      <c r="N94" s="306"/>
    </row>
    <row r="95" spans="6:13" ht="9" customHeight="1">
      <c r="F95" s="68"/>
      <c r="G95" s="305"/>
      <c r="H95" s="305"/>
      <c r="I95" s="68"/>
      <c r="J95" s="69"/>
      <c r="K95" s="69"/>
      <c r="L95" s="69"/>
      <c r="M95" s="69"/>
    </row>
    <row r="96" spans="2:13" ht="22.5" customHeight="1" hidden="1">
      <c r="B96" s="308" t="s">
        <v>59</v>
      </c>
      <c r="C96" s="309"/>
      <c r="D96" s="80">
        <v>0</v>
      </c>
      <c r="E96" s="51" t="s">
        <v>24</v>
      </c>
      <c r="F96" s="68"/>
      <c r="G96" s="305"/>
      <c r="H96" s="30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0"/>
      <c r="P98" s="31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08" sqref="C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255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250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145</v>
      </c>
      <c r="O3" s="290" t="s">
        <v>149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150</v>
      </c>
      <c r="F4" s="293" t="s">
        <v>33</v>
      </c>
      <c r="G4" s="295" t="s">
        <v>146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153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148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2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170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63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252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2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2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253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253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254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</f>
        <v>4000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-3999.93</v>
      </c>
      <c r="J73" s="167">
        <f>F73/D73*100</f>
        <v>0.0017500000000000003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4000</v>
      </c>
      <c r="U73" s="4">
        <v>0</v>
      </c>
    </row>
    <row r="74" spans="2:20" ht="18">
      <c r="B74" s="23" t="s">
        <v>30</v>
      </c>
      <c r="C74" s="73">
        <v>33010000</v>
      </c>
      <c r="D74" s="180">
        <v>16379.5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-16331.16</v>
      </c>
      <c r="J74" s="167">
        <f>F74/D74*100</f>
        <v>0.2951250038157453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15149.5</v>
      </c>
    </row>
    <row r="75" spans="2:20" ht="31.5">
      <c r="B75" s="23" t="s">
        <v>54</v>
      </c>
      <c r="C75" s="73">
        <v>24170000</v>
      </c>
      <c r="D75" s="180">
        <v>10429.2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-9326.61</v>
      </c>
      <c r="J75" s="167">
        <f>F75/D75*100</f>
        <v>10.572143596824299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9629.2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30820.7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-29667.7</v>
      </c>
      <c r="J77" s="187">
        <f>F77/D77*100</f>
        <v>3.7409922552051054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28788.7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111666.9</v>
      </c>
      <c r="E86" s="191">
        <f>E71+E83+E77+E82+E85</f>
        <v>16454.9</v>
      </c>
      <c r="F86" s="184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-95444.82999999999</v>
      </c>
      <c r="J86" s="194">
        <f t="shared" si="24"/>
        <v>14.52719651033565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95212</v>
      </c>
    </row>
    <row r="87" spans="2:20" ht="17.25">
      <c r="B87" s="21" t="s">
        <v>32</v>
      </c>
      <c r="C87" s="66"/>
      <c r="D87" s="191">
        <f>D64+D86</f>
        <v>1469158</v>
      </c>
      <c r="E87" s="191">
        <f>E64+E86</f>
        <v>220477</v>
      </c>
      <c r="F87" s="184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-1249409.56</v>
      </c>
      <c r="J87" s="194">
        <f t="shared" si="24"/>
        <v>14.95744092874967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1248681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03"/>
      <c r="H90" s="303"/>
      <c r="I90" s="303"/>
      <c r="J90" s="303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04"/>
      <c r="P91" s="304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255" t="s">
        <v>58</v>
      </c>
      <c r="G92" s="305"/>
      <c r="H92" s="305"/>
      <c r="I92" s="118"/>
      <c r="J92" s="306"/>
      <c r="K92" s="306"/>
      <c r="L92" s="306"/>
      <c r="M92" s="306"/>
      <c r="N92" s="306"/>
      <c r="O92" s="304"/>
      <c r="P92" s="304"/>
    </row>
    <row r="93" spans="3:16" ht="15.75" customHeight="1" hidden="1">
      <c r="C93" s="81">
        <v>42790</v>
      </c>
      <c r="D93" s="29">
        <v>4206.9</v>
      </c>
      <c r="F93" s="256"/>
      <c r="G93" s="305"/>
      <c r="H93" s="305"/>
      <c r="I93" s="118"/>
      <c r="J93" s="307"/>
      <c r="K93" s="307"/>
      <c r="L93" s="307"/>
      <c r="M93" s="307"/>
      <c r="N93" s="307"/>
      <c r="O93" s="304"/>
      <c r="P93" s="304"/>
    </row>
    <row r="94" spans="3:14" ht="15.75" customHeight="1" hidden="1">
      <c r="C94" s="81"/>
      <c r="F94" s="256"/>
      <c r="G94" s="311"/>
      <c r="H94" s="311"/>
      <c r="I94" s="124"/>
      <c r="J94" s="306"/>
      <c r="K94" s="306"/>
      <c r="L94" s="306"/>
      <c r="M94" s="306"/>
      <c r="N94" s="306"/>
    </row>
    <row r="95" spans="2:14" ht="18.75" customHeight="1" hidden="1">
      <c r="B95" s="312" t="s">
        <v>56</v>
      </c>
      <c r="C95" s="313"/>
      <c r="D95" s="133">
        <v>7713.34596</v>
      </c>
      <c r="E95" s="69"/>
      <c r="F95" s="257" t="s">
        <v>107</v>
      </c>
      <c r="G95" s="305"/>
      <c r="H95" s="305"/>
      <c r="I95" s="126"/>
      <c r="J95" s="306"/>
      <c r="K95" s="306"/>
      <c r="L95" s="306"/>
      <c r="M95" s="306"/>
      <c r="N95" s="306"/>
    </row>
    <row r="96" spans="6:13" ht="9.75" customHeight="1" hidden="1">
      <c r="F96" s="256"/>
      <c r="G96" s="305"/>
      <c r="H96" s="305"/>
      <c r="I96" s="68"/>
      <c r="J96" s="69"/>
      <c r="K96" s="69"/>
      <c r="L96" s="69"/>
      <c r="M96" s="69"/>
    </row>
    <row r="97" spans="2:13" ht="22.5" customHeight="1" hidden="1">
      <c r="B97" s="308" t="s">
        <v>59</v>
      </c>
      <c r="C97" s="309"/>
      <c r="D97" s="80">
        <v>0</v>
      </c>
      <c r="E97" s="51" t="s">
        <v>24</v>
      </c>
      <c r="F97" s="256"/>
      <c r="G97" s="305"/>
      <c r="H97" s="305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56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310"/>
      <c r="P99" s="310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55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55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55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55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5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5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5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.75">
      <c r="B107" s="240" t="s">
        <v>167</v>
      </c>
      <c r="C107" s="239">
        <v>41030600</v>
      </c>
      <c r="D107" s="248">
        <v>311813.4</v>
      </c>
      <c r="E107" s="248">
        <v>50035.4</v>
      </c>
      <c r="F107" s="25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.75">
      <c r="B108" s="240" t="s">
        <v>168</v>
      </c>
      <c r="C108" s="239">
        <v>41030800</v>
      </c>
      <c r="D108" s="248">
        <v>408648.2</v>
      </c>
      <c r="E108" s="248">
        <v>264243.41127</v>
      </c>
      <c r="F108" s="25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.75">
      <c r="B109" s="240" t="s">
        <v>169</v>
      </c>
      <c r="C109" s="239">
        <v>41031000</v>
      </c>
      <c r="D109" s="248">
        <v>227.7</v>
      </c>
      <c r="E109" s="248">
        <v>38</v>
      </c>
      <c r="F109" s="25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6.25">
      <c r="B110" s="240" t="s">
        <v>170</v>
      </c>
      <c r="C110" s="239">
        <v>41033900</v>
      </c>
      <c r="D110" s="248">
        <v>243334.5</v>
      </c>
      <c r="E110" s="248">
        <v>37454.8</v>
      </c>
      <c r="F110" s="25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6.25">
      <c r="B111" s="240" t="s">
        <v>171</v>
      </c>
      <c r="C111" s="239">
        <v>41034200</v>
      </c>
      <c r="D111" s="248">
        <v>238249.5</v>
      </c>
      <c r="E111" s="248">
        <v>39685.1</v>
      </c>
      <c r="F111" s="25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5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.75">
      <c r="B113" s="240" t="s">
        <v>172</v>
      </c>
      <c r="C113" s="239">
        <v>41035800</v>
      </c>
      <c r="D113" s="248">
        <v>4356.3</v>
      </c>
      <c r="E113" s="248">
        <v>583.7</v>
      </c>
      <c r="F113" s="25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18">
      <c r="B114" s="247" t="s">
        <v>166</v>
      </c>
      <c r="C114" s="243"/>
      <c r="D114" s="245">
        <f>D104+D87</f>
        <v>2692026.688</v>
      </c>
      <c r="E114" s="245">
        <f>E104+E87</f>
        <v>615169.2812699999</v>
      </c>
      <c r="F114" s="259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-2081913.08154</v>
      </c>
      <c r="J114" s="246">
        <f t="shared" si="31"/>
        <v>22.66372800758802</v>
      </c>
      <c r="Q114" s="244"/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0:J90"/>
    <mergeCell ref="O91:P91"/>
    <mergeCell ref="G92:H92"/>
    <mergeCell ref="J92:N92"/>
    <mergeCell ref="O92:P92"/>
    <mergeCell ref="G93:H93"/>
    <mergeCell ref="J93:N93"/>
    <mergeCell ref="O93:P93"/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8" sqref="B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145</v>
      </c>
      <c r="O3" s="290" t="s">
        <v>149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150</v>
      </c>
      <c r="F4" s="293" t="s">
        <v>33</v>
      </c>
      <c r="G4" s="295" t="s">
        <v>146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153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148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03"/>
      <c r="H90" s="303"/>
      <c r="I90" s="303"/>
      <c r="J90" s="303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04"/>
      <c r="P91" s="304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305"/>
      <c r="H92" s="305"/>
      <c r="I92" s="118"/>
      <c r="J92" s="306"/>
      <c r="K92" s="306"/>
      <c r="L92" s="306"/>
      <c r="M92" s="306"/>
      <c r="N92" s="306"/>
      <c r="O92" s="304"/>
      <c r="P92" s="304"/>
    </row>
    <row r="93" spans="3:16" ht="15.75" customHeight="1" hidden="1">
      <c r="C93" s="81">
        <v>42790</v>
      </c>
      <c r="D93" s="29">
        <v>4206.9</v>
      </c>
      <c r="F93" s="68"/>
      <c r="G93" s="305"/>
      <c r="H93" s="305"/>
      <c r="I93" s="118"/>
      <c r="J93" s="307"/>
      <c r="K93" s="307"/>
      <c r="L93" s="307"/>
      <c r="M93" s="307"/>
      <c r="N93" s="307"/>
      <c r="O93" s="304"/>
      <c r="P93" s="304"/>
    </row>
    <row r="94" spans="3:14" ht="15.75" customHeight="1" hidden="1">
      <c r="C94" s="81"/>
      <c r="F94" s="68"/>
      <c r="G94" s="311"/>
      <c r="H94" s="311"/>
      <c r="I94" s="124"/>
      <c r="J94" s="306"/>
      <c r="K94" s="306"/>
      <c r="L94" s="306"/>
      <c r="M94" s="306"/>
      <c r="N94" s="306"/>
    </row>
    <row r="95" spans="2:14" ht="18.75" customHeight="1" hidden="1">
      <c r="B95" s="312" t="s">
        <v>56</v>
      </c>
      <c r="C95" s="313"/>
      <c r="D95" s="133">
        <v>7713.34596</v>
      </c>
      <c r="E95" s="69"/>
      <c r="F95" s="125" t="s">
        <v>107</v>
      </c>
      <c r="G95" s="305"/>
      <c r="H95" s="305"/>
      <c r="I95" s="126"/>
      <c r="J95" s="306"/>
      <c r="K95" s="306"/>
      <c r="L95" s="306"/>
      <c r="M95" s="306"/>
      <c r="N95" s="306"/>
    </row>
    <row r="96" spans="6:13" ht="9.75" customHeight="1" hidden="1">
      <c r="F96" s="68"/>
      <c r="G96" s="305"/>
      <c r="H96" s="305"/>
      <c r="I96" s="68"/>
      <c r="J96" s="69"/>
      <c r="K96" s="69"/>
      <c r="L96" s="69"/>
      <c r="M96" s="69"/>
    </row>
    <row r="97" spans="2:13" ht="22.5" customHeight="1" hidden="1">
      <c r="B97" s="308" t="s">
        <v>59</v>
      </c>
      <c r="C97" s="309"/>
      <c r="D97" s="80">
        <v>0</v>
      </c>
      <c r="E97" s="51" t="s">
        <v>24</v>
      </c>
      <c r="F97" s="68"/>
      <c r="G97" s="305"/>
      <c r="H97" s="305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310"/>
      <c r="P99" s="310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0:J90"/>
    <mergeCell ref="O91:P91"/>
    <mergeCell ref="G92:H92"/>
    <mergeCell ref="J92:N92"/>
    <mergeCell ref="O92:P92"/>
    <mergeCell ref="G93:H93"/>
    <mergeCell ref="J93:N93"/>
    <mergeCell ref="O93:P93"/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2017-03-16T09:06:24Z</cp:lastPrinted>
  <dcterms:created xsi:type="dcterms:W3CDTF">2003-07-28T11:27:56Z</dcterms:created>
  <dcterms:modified xsi:type="dcterms:W3CDTF">2017-03-16T14:32:40Z</dcterms:modified>
  <cp:category/>
  <cp:version/>
  <cp:contentType/>
  <cp:contentStatus/>
</cp:coreProperties>
</file>